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tabRatio="907" firstSheet="3" activeTab="3"/>
  </bookViews>
  <sheets>
    <sheet name="15 (4)" sheetId="1" r:id="rId1"/>
    <sheet name="15 (3)" sheetId="2" r:id="rId2"/>
    <sheet name="проект бюджета 2013" sheetId="3" r:id="rId3"/>
    <sheet name="гос_и_мун_прогр" sheetId="4" r:id="rId4"/>
  </sheets>
  <externalReferences>
    <externalReference r:id="rId7"/>
    <externalReference r:id="rId8"/>
  </externalReferences>
  <definedNames>
    <definedName name="_xlnm._FilterDatabase" localSheetId="1" hidden="1">'15 (3)'!$A$15:$O$477</definedName>
    <definedName name="_xlnm._FilterDatabase" localSheetId="2" hidden="1">'проект бюджета 2013'!$A$11:$F$531</definedName>
    <definedName name="А34" localSheetId="3">'[1]01'!#REF!</definedName>
    <definedName name="А34">'[1]01'!#REF!</definedName>
    <definedName name="а452" localSheetId="3">'[1]01'!#REF!</definedName>
    <definedName name="а452">'[1]01'!#REF!</definedName>
    <definedName name="А875" localSheetId="3">'[1]01'!#REF!</definedName>
    <definedName name="А875">'[1]01'!#REF!</definedName>
    <definedName name="_xlnm.Print_Titles" localSheetId="1">'15 (3)'!$12:$15</definedName>
    <definedName name="_xlnm.Print_Titles" localSheetId="0">'15 (4)'!$13:$16</definedName>
    <definedName name="_xlnm.Print_Titles" localSheetId="3">'гос_и_мун_прогр'!$12:$13</definedName>
    <definedName name="_xlnm.Print_Titles" localSheetId="2">'проект бюджета 2013'!$7:$10</definedName>
    <definedName name="_xlnm.Print_Area" localSheetId="1">'15 (3)'!$A$1:$O$477</definedName>
    <definedName name="_xlnm.Print_Area" localSheetId="0">'15 (4)'!$A$5:$N$183</definedName>
    <definedName name="_xlnm.Print_Area" localSheetId="3">'гос_и_мун_прогр'!$A$1:$O$150</definedName>
    <definedName name="_xlnm.Print_Area" localSheetId="2">'проект бюджета 2013'!$A$1:$P$531</definedName>
  </definedNames>
  <calcPr fullCalcOnLoad="1"/>
</workbook>
</file>

<file path=xl/comments2.xml><?xml version="1.0" encoding="utf-8"?>
<comments xmlns="http://schemas.openxmlformats.org/spreadsheetml/2006/main">
  <authors>
    <author>max2</author>
  </authors>
  <commentList>
    <comment ref="F43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60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F37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8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160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187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23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246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156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F157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F3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298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333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34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354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43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39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44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3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37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43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60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G8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95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96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156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G157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G160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187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23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246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298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333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34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354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39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43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44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61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F158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F95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96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443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443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</commentList>
</comments>
</file>

<file path=xl/comments3.xml><?xml version="1.0" encoding="utf-8"?>
<comments xmlns="http://schemas.openxmlformats.org/spreadsheetml/2006/main">
  <authors>
    <author>ВИП</author>
    <author>max2</author>
    <author>user1</author>
    <author>админ</author>
  </authors>
  <commentList>
    <comment ref="B31" authorId="0">
      <text>
        <r>
          <rPr>
            <b/>
            <sz val="8"/>
            <rFont val="Tahoma"/>
            <family val="2"/>
          </rPr>
          <t>ВИП:</t>
        </r>
        <r>
          <rPr>
            <sz val="8"/>
            <rFont val="Tahoma"/>
            <family val="2"/>
          </rPr>
          <t xml:space="preserve">
</t>
        </r>
      </text>
    </comment>
    <comment ref="F35" authorId="1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41" authorId="1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78" authorId="1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84" authorId="1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85" authorId="1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145" authorId="1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F146" authorId="1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F147" authorId="1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F156" authorId="1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F157" authorId="1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F177" authorId="1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250" authorId="1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254" authorId="1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254" authorId="1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F279" authorId="1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279" authorId="1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M133" authorId="2">
      <text>
        <r>
          <rPr>
            <b/>
            <sz val="8"/>
            <rFont val="Tahoma"/>
            <family val="2"/>
          </rPr>
          <t>в том числе 200 т.р. -Эдельвейс проектная документация(или строит.д.сада), 300 т.р. - станция биолог.очистки</t>
        </r>
      </text>
    </comment>
    <comment ref="M313" authorId="3">
      <text>
        <r>
          <rPr>
            <b/>
            <sz val="8"/>
            <rFont val="Tahoma"/>
            <family val="2"/>
          </rPr>
          <t>админ:</t>
        </r>
        <r>
          <rPr>
            <sz val="8"/>
            <rFont val="Tahoma"/>
            <family val="2"/>
          </rPr>
          <t xml:space="preserve">
перенос на 0702 421 реконструкция дет.сада №2 (с 211 - 1 млн (арифм.ош); с 213-237тыс.соотв)</t>
        </r>
      </text>
    </comment>
    <comment ref="F18" authorId="1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O107" authorId="3">
      <text>
        <r>
          <rPr>
            <b/>
            <sz val="8"/>
            <rFont val="Tahoma"/>
            <family val="2"/>
          </rPr>
          <t>админ:</t>
        </r>
        <r>
          <rPr>
            <sz val="8"/>
            <rFont val="Tahoma"/>
            <family val="2"/>
          </rPr>
          <t xml:space="preserve">
программа</t>
        </r>
      </text>
    </comment>
    <comment ref="O111" authorId="3">
      <text>
        <r>
          <rPr>
            <b/>
            <sz val="8"/>
            <rFont val="Tahoma"/>
            <family val="2"/>
          </rPr>
          <t>админ:</t>
        </r>
        <r>
          <rPr>
            <sz val="8"/>
            <rFont val="Tahoma"/>
            <family val="2"/>
          </rPr>
          <t xml:space="preserve">
программа</t>
        </r>
      </text>
    </comment>
    <comment ref="O133" authorId="2">
      <text>
        <r>
          <rPr>
            <b/>
            <sz val="8"/>
            <rFont val="Tahoma"/>
            <family val="2"/>
          </rPr>
          <t>в том числе 200 т.р. -Эдельвейс проектная документация(или строит.д.сада), 300 т.р. - станция биолог.очистки</t>
        </r>
      </text>
    </comment>
    <comment ref="O313" authorId="3">
      <text>
        <r>
          <rPr>
            <b/>
            <sz val="8"/>
            <rFont val="Tahoma"/>
            <family val="2"/>
          </rPr>
          <t>админ:</t>
        </r>
        <r>
          <rPr>
            <sz val="8"/>
            <rFont val="Tahoma"/>
            <family val="2"/>
          </rPr>
          <t xml:space="preserve">
перенос на 0702 421 реконструкция дет.сада №2 (с 211 - 1 млн (арифм.ош); с 213-237тыс.соотв)</t>
        </r>
      </text>
    </comment>
    <comment ref="P107" authorId="3">
      <text>
        <r>
          <rPr>
            <b/>
            <sz val="8"/>
            <rFont val="Tahoma"/>
            <family val="2"/>
          </rPr>
          <t>админ:</t>
        </r>
        <r>
          <rPr>
            <sz val="8"/>
            <rFont val="Tahoma"/>
            <family val="2"/>
          </rPr>
          <t xml:space="preserve">
программа</t>
        </r>
      </text>
    </comment>
    <comment ref="P111" authorId="3">
      <text>
        <r>
          <rPr>
            <b/>
            <sz val="8"/>
            <rFont val="Tahoma"/>
            <family val="2"/>
          </rPr>
          <t>админ:</t>
        </r>
        <r>
          <rPr>
            <sz val="8"/>
            <rFont val="Tahoma"/>
            <family val="2"/>
          </rPr>
          <t xml:space="preserve">
программа</t>
        </r>
      </text>
    </comment>
    <comment ref="P133" authorId="2">
      <text>
        <r>
          <rPr>
            <b/>
            <sz val="8"/>
            <rFont val="Tahoma"/>
            <family val="2"/>
          </rPr>
          <t>в том числе 200 т.р. -Эдельвейс проектная документация(или строит.д.сада), 300 т.р. - станция биолог.очистки</t>
        </r>
      </text>
    </comment>
    <comment ref="P313" authorId="3">
      <text>
        <r>
          <rPr>
            <b/>
            <sz val="8"/>
            <rFont val="Tahoma"/>
            <family val="2"/>
          </rPr>
          <t>админ:</t>
        </r>
        <r>
          <rPr>
            <sz val="8"/>
            <rFont val="Tahoma"/>
            <family val="2"/>
          </rPr>
          <t xml:space="preserve">
перенос на 0702 421 реконструкция дет.сада №2 (с 211 - 1 млн (арифм.ош); с 213-237тыс.соотв)</t>
        </r>
      </text>
    </comment>
    <comment ref="N107" authorId="3">
      <text>
        <r>
          <rPr>
            <b/>
            <sz val="8"/>
            <rFont val="Tahoma"/>
            <family val="2"/>
          </rPr>
          <t>админ:</t>
        </r>
        <r>
          <rPr>
            <sz val="8"/>
            <rFont val="Tahoma"/>
            <family val="2"/>
          </rPr>
          <t xml:space="preserve">
программа</t>
        </r>
      </text>
    </comment>
    <comment ref="N111" authorId="3">
      <text>
        <r>
          <rPr>
            <b/>
            <sz val="8"/>
            <rFont val="Tahoma"/>
            <family val="2"/>
          </rPr>
          <t>админ:</t>
        </r>
        <r>
          <rPr>
            <sz val="8"/>
            <rFont val="Tahoma"/>
            <family val="2"/>
          </rPr>
          <t xml:space="preserve">
программа</t>
        </r>
      </text>
    </comment>
    <comment ref="N133" authorId="2">
      <text>
        <r>
          <rPr>
            <b/>
            <sz val="8"/>
            <rFont val="Tahoma"/>
            <family val="2"/>
          </rPr>
          <t>в том числе 200 т.р. -Эдельвейс проектная документация(или строит.д.сада), 300 т.р. - станция биолог.очистки</t>
        </r>
      </text>
    </comment>
    <comment ref="N313" authorId="3">
      <text>
        <r>
          <rPr>
            <b/>
            <sz val="8"/>
            <rFont val="Tahoma"/>
            <family val="2"/>
          </rPr>
          <t>админ:</t>
        </r>
        <r>
          <rPr>
            <sz val="8"/>
            <rFont val="Tahoma"/>
            <family val="2"/>
          </rPr>
          <t xml:space="preserve">
перенос на 0702 421 реконструкция дет.сада №2 (с 211 - 1 млн (арифм.ош); с 213-237тыс.соотв)</t>
        </r>
      </text>
    </comment>
  </commentList>
</comments>
</file>

<file path=xl/comments4.xml><?xml version="1.0" encoding="utf-8"?>
<comments xmlns="http://schemas.openxmlformats.org/spreadsheetml/2006/main">
  <authors>
    <author>max2</author>
  </authors>
  <commentList>
    <comment ref="F110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G110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F111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G111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F112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</commentList>
</comments>
</file>

<file path=xl/sharedStrings.xml><?xml version="1.0" encoding="utf-8"?>
<sst xmlns="http://schemas.openxmlformats.org/spreadsheetml/2006/main" count="6094" uniqueCount="457">
  <si>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</si>
  <si>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</si>
  <si>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</si>
  <si>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Общее образование</t>
  </si>
  <si>
    <t>Учреждения по внешкольной работе с детьми</t>
  </si>
  <si>
    <t>Иные безвозмездные и безвозвратные перечисления</t>
  </si>
  <si>
    <t>5200000</t>
  </si>
  <si>
    <t>Мероприятия по проведению оздоровительной кампании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</si>
  <si>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</si>
  <si>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</si>
  <si>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 и средства массовой информации</t>
  </si>
  <si>
    <t>Библиотеки</t>
  </si>
  <si>
    <t>Больницы, клиники, госпитали, медико-санитарные части</t>
  </si>
  <si>
    <t>Культура</t>
  </si>
  <si>
    <t>Другие вопросы в области образования</t>
  </si>
  <si>
    <t>Сельское хозяйство и рыболовство</t>
  </si>
  <si>
    <t>Социальное обеспечение населения</t>
  </si>
  <si>
    <t>Государственная регистрация актов гражданского состояния</t>
  </si>
  <si>
    <t>09</t>
  </si>
  <si>
    <t>10</t>
  </si>
  <si>
    <t>003</t>
  </si>
  <si>
    <t>ВР</t>
  </si>
  <si>
    <t>004</t>
  </si>
  <si>
    <t>013</t>
  </si>
  <si>
    <t>Социальные выплаты</t>
  </si>
  <si>
    <t>Выполнение функций государственными органами</t>
  </si>
  <si>
    <t>Прочие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</si>
  <si>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</si>
  <si>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Медицинская помощь в дневных стационарах всех типов</t>
  </si>
  <si>
    <t xml:space="preserve">Скорая медицинская помощь </t>
  </si>
  <si>
    <t>Физическая культура и спорт</t>
  </si>
  <si>
    <t>Другие вопросы в области социальной политики</t>
  </si>
  <si>
    <t>Наименование</t>
  </si>
  <si>
    <t>Рз</t>
  </si>
  <si>
    <t>ПР</t>
  </si>
  <si>
    <t>Национальная экономика</t>
  </si>
  <si>
    <t>Социальная политика</t>
  </si>
  <si>
    <t>Национальная безопасность и правоохранительная деятельность</t>
  </si>
  <si>
    <t>Органы внутренних дел</t>
  </si>
  <si>
    <t>Другие общегосударственные вопросы</t>
  </si>
  <si>
    <t>Вед</t>
  </si>
  <si>
    <t>4219900</t>
  </si>
  <si>
    <t>4239900</t>
  </si>
  <si>
    <t>4409900</t>
  </si>
  <si>
    <t>4429900</t>
  </si>
  <si>
    <t>08</t>
  </si>
  <si>
    <t>Другие вопросы в области национальной экономики</t>
  </si>
  <si>
    <t>Образование</t>
  </si>
  <si>
    <t>Охрана окружающей среды</t>
  </si>
  <si>
    <t>Состояние окружающей среды и природопользования</t>
  </si>
  <si>
    <t>Природоохранные мероприятия</t>
  </si>
  <si>
    <t>Выполнение функций бюджетными учреждениями</t>
  </si>
  <si>
    <t>5129700</t>
  </si>
  <si>
    <t>Физкультурно-оздоровительная работа и спортивные мероприятия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</si>
  <si>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</si>
  <si>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</si>
  <si>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</si>
  <si>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</si>
  <si>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4210000</t>
  </si>
  <si>
    <t>Школы - детские сады, школы начальные, неполные средние и средние</t>
  </si>
  <si>
    <t>4230000</t>
  </si>
  <si>
    <t>Стационарная медицинская помощь</t>
  </si>
  <si>
    <t>Амбулаторная помощь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</si>
  <si>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</si>
  <si>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</si>
  <si>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4400000</t>
  </si>
  <si>
    <t>02</t>
  </si>
  <si>
    <t>Молодежная политика и оздоровление детей</t>
  </si>
  <si>
    <t>Функционирование органов в сфере национальной безопасности и правоохранительной деятельности</t>
  </si>
  <si>
    <t>Подпрограмма "Обеспечение жильем молодых семей"</t>
  </si>
  <si>
    <t>Общегосударственные вопросы</t>
  </si>
  <si>
    <t>01</t>
  </si>
  <si>
    <t>03</t>
  </si>
  <si>
    <t>5050000</t>
  </si>
  <si>
    <t>04</t>
  </si>
  <si>
    <t>Судебная система</t>
  </si>
  <si>
    <t>05</t>
  </si>
  <si>
    <t>06</t>
  </si>
  <si>
    <t>07</t>
  </si>
  <si>
    <t>12</t>
  </si>
  <si>
    <t>4529900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</si>
  <si>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</si>
  <si>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</si>
  <si>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</si>
  <si>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</si>
  <si>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Мероприятия по борьбе с беспризорностью, по опеке и попечительству</t>
  </si>
  <si>
    <t>Центральный аппарат</t>
  </si>
  <si>
    <t>4320000</t>
  </si>
  <si>
    <t>4420000</t>
  </si>
  <si>
    <t>Оплата жилищно-коммунальных услуг отдельным категориям граждан</t>
  </si>
  <si>
    <t>Ежемесячное денежное вознаграждение за классное руководство</t>
  </si>
  <si>
    <t>ЦСР</t>
  </si>
  <si>
    <t>5200900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</si>
  <si>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</si>
  <si>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</si>
  <si>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на обеспечение жильем</t>
  </si>
  <si>
    <t>14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</si>
  <si>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</si>
  <si>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</si>
  <si>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</si>
  <si>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</si>
  <si>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</si>
  <si>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0700000</t>
  </si>
  <si>
    <t>0700500</t>
  </si>
  <si>
    <t>Резервные фонды местных администраций</t>
  </si>
  <si>
    <t>Выполнение функций государственными учреждениями</t>
  </si>
  <si>
    <t>Выполнение функций органми местного самоуправления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</si>
  <si>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</si>
  <si>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</si>
  <si>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</si>
  <si>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0920300</t>
  </si>
  <si>
    <t>Выполнение других обязательств государства</t>
  </si>
  <si>
    <t>Дошкольное образование</t>
  </si>
  <si>
    <t>4200000</t>
  </si>
  <si>
    <t>4209900</t>
  </si>
  <si>
    <t>Детские дошкольные учреждения</t>
  </si>
  <si>
    <t>Оздоровление детей</t>
  </si>
  <si>
    <t>Охрана семьи и детства</t>
  </si>
  <si>
    <t>5050502</t>
  </si>
  <si>
    <t>Выплаты единовременного пособия при всех формах устройства детей , лишенных родительского попечения, в семью</t>
  </si>
  <si>
    <t>Выплаты семьям опекунов на содержание подопечных детей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</si>
  <si>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</si>
  <si>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</si>
  <si>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Другие вопросы в области культуры, кинематографии и средств массовой информации</t>
  </si>
  <si>
    <t>Организационно- воспитательная работа с молодежью</t>
  </si>
  <si>
    <t>Проведение мероприятий для детей и молодежи</t>
  </si>
  <si>
    <t>Мероприятия в области социальной политики Федеральная целевая программа "Жилище" на 2002 - 2010 годы</t>
  </si>
  <si>
    <t>11</t>
  </si>
  <si>
    <t>5160000</t>
  </si>
  <si>
    <t>5160100</t>
  </si>
  <si>
    <t>5160130</t>
  </si>
  <si>
    <t>Выравнивание бюджетной обеспеченности</t>
  </si>
  <si>
    <t>Выравнивание бюджетной обеспеченности поселений  из районного фонда финансовой поддержки</t>
  </si>
  <si>
    <t>Фонд финансовой поддержки</t>
  </si>
  <si>
    <t>0013600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</si>
  <si>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</si>
  <si>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</si>
  <si>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учебнопроизводственные комбинаты, логопедические пункты</t>
  </si>
  <si>
    <t>Мероприятия в области здравоохранения, спорта и физической культуры, ткризма</t>
  </si>
  <si>
    <t>Денежные выплаты медецинскому персоналу фельдшерско-акушерских пунктов, врачам, фельдшерам и медецинским сестрам скорой медицинской помощи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</si>
  <si>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</si>
  <si>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</si>
  <si>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</si>
  <si>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</si>
  <si>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</si>
  <si>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</si>
  <si>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</si>
  <si>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</si>
  <si>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</si>
  <si>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Итого</t>
  </si>
  <si>
    <t>ЖИЛИЩНО-КОММУНАЛЬНОЕ ХОЗЯЙСТВО</t>
  </si>
  <si>
    <t>ЖИЛИЩНО-КОММУНАЛЬНОЕ ХОЗЯЙСТВО              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</si>
  <si>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ЖКХ </t>
  </si>
  <si>
    <t>0980101</t>
  </si>
  <si>
    <t>006</t>
  </si>
  <si>
    <t>0980201</t>
  </si>
  <si>
    <t>7950000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</si>
  <si>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</si>
  <si>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</si>
  <si>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</si>
  <si>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</si>
  <si>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6600000</t>
  </si>
  <si>
    <t>Программа наказов избирателей депутатов Покровского районного Совета народных депутатов</t>
  </si>
  <si>
    <t>801</t>
  </si>
  <si>
    <t>802</t>
  </si>
  <si>
    <t>803</t>
  </si>
  <si>
    <t>804</t>
  </si>
  <si>
    <t>807</t>
  </si>
  <si>
    <t>0103</t>
  </si>
  <si>
    <t>0114</t>
  </si>
  <si>
    <t>0102</t>
  </si>
  <si>
    <t>0104</t>
  </si>
  <si>
    <t>0412</t>
  </si>
  <si>
    <t>0707</t>
  </si>
  <si>
    <t>1003</t>
  </si>
  <si>
    <t>0106</t>
  </si>
  <si>
    <t>1100</t>
  </si>
  <si>
    <t>0701</t>
  </si>
  <si>
    <t>0702</t>
  </si>
  <si>
    <t>0709</t>
  </si>
  <si>
    <t>1004</t>
  </si>
  <si>
    <t>0801</t>
  </si>
  <si>
    <t>0901</t>
  </si>
  <si>
    <t>0902</t>
  </si>
  <si>
    <t>0903</t>
  </si>
  <si>
    <t>0904</t>
  </si>
  <si>
    <t>1001</t>
  </si>
  <si>
    <t>1002</t>
  </si>
  <si>
    <t>1006</t>
  </si>
  <si>
    <t>0302</t>
  </si>
  <si>
    <t>0501</t>
  </si>
  <si>
    <t>0405</t>
  </si>
  <si>
    <t>Бюджет</t>
  </si>
  <si>
    <t xml:space="preserve">Бюджет </t>
  </si>
  <si>
    <t>Отклонения</t>
  </si>
  <si>
    <t>Иные межбюджетные трансферты</t>
  </si>
  <si>
    <t>6700000</t>
  </si>
  <si>
    <t>1001100</t>
  </si>
  <si>
    <t xml:space="preserve">Федеральные целевые программы </t>
  </si>
  <si>
    <t>1000000</t>
  </si>
  <si>
    <t>5053300</t>
  </si>
  <si>
    <t>5058600</t>
  </si>
  <si>
    <t>Оказание других видов социальной помощи</t>
  </si>
  <si>
    <t>Жилищно-коммунальное хозяйство</t>
  </si>
  <si>
    <t>0503</t>
  </si>
  <si>
    <t>Благоустройство</t>
  </si>
  <si>
    <t>0502</t>
  </si>
  <si>
    <t xml:space="preserve">КОММУНАЛЬНОЕ ХОЗЯЙСТВО   </t>
  </si>
  <si>
    <t>Жилищное хозяйство</t>
  </si>
  <si>
    <t>Средства районного бюджета</t>
  </si>
  <si>
    <t>Средства федерального бюджета</t>
  </si>
  <si>
    <t>Средства областного бюджета</t>
  </si>
  <si>
    <t>3</t>
  </si>
  <si>
    <t>1</t>
  </si>
  <si>
    <t>2</t>
  </si>
  <si>
    <t>Областные средства</t>
  </si>
  <si>
    <t>тыс.руб.</t>
  </si>
  <si>
    <t>4000000</t>
  </si>
  <si>
    <t>4000100</t>
  </si>
  <si>
    <t>Мероприятия по сбору и удалению твердых и жидких отходов</t>
  </si>
  <si>
    <t>Сбор и удаление твердых отходов</t>
  </si>
  <si>
    <t>Целевые программы муниципальных образований</t>
  </si>
  <si>
    <t>0408</t>
  </si>
  <si>
    <t>Транспорт</t>
  </si>
  <si>
    <t>3170000</t>
  </si>
  <si>
    <t>3170100</t>
  </si>
  <si>
    <t>Субсидии на проведение отдельных мероприятий по другим видам транспорта</t>
  </si>
  <si>
    <t>Другие виды транспорта</t>
  </si>
  <si>
    <t xml:space="preserve">       Транспорт</t>
  </si>
  <si>
    <t>5170200</t>
  </si>
  <si>
    <t>Поддержка мер по обеспечению сбалансированности бюджетов</t>
  </si>
  <si>
    <t>5210206</t>
  </si>
  <si>
    <t>5210207</t>
  </si>
  <si>
    <t>5210213</t>
  </si>
  <si>
    <t>Организация деятельности административных комиссий на территории Орловской области</t>
  </si>
  <si>
    <t>Формирование и организация комиссии по делам несовершеннолетних и защите их прав</t>
  </si>
  <si>
    <t>Выполнение полномочий в сфере трудовых отношений</t>
  </si>
  <si>
    <t>5053401</t>
  </si>
  <si>
    <t>5210212</t>
  </si>
  <si>
    <t>Выполнение полномочий в сфере опеки и попечительства</t>
  </si>
  <si>
    <t>5210204</t>
  </si>
  <si>
    <t>6710000</t>
  </si>
  <si>
    <t xml:space="preserve">Возмещение расходов бюджетов муниципальных образований на обеспечение питанием учащихся муниципальных образовательных учреждений в размере 50 процентов фактических затрат, но не более  11 рублей на 1 учащегося в день </t>
  </si>
  <si>
    <t>4320100</t>
  </si>
  <si>
    <t>1102</t>
  </si>
  <si>
    <t>Отдел культуры Администрации Покровского района Орловской области</t>
  </si>
  <si>
    <t>Покровский районный Совет народных депутатов</t>
  </si>
  <si>
    <t>Администрация Покровского района Орловской области</t>
  </si>
  <si>
    <t>Отдел финансов и налоговой политики администрации Покровского района</t>
  </si>
  <si>
    <t>Отдел образования администрации Покровского района Орловской области</t>
  </si>
  <si>
    <t>800</t>
  </si>
  <si>
    <t>0111</t>
  </si>
  <si>
    <t>0113</t>
  </si>
  <si>
    <t>0804</t>
  </si>
  <si>
    <t xml:space="preserve">Другие вопросы в области культуры, кинематографии 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</si>
  <si>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</si>
  <si>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</si>
  <si>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</si>
  <si>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</si>
  <si>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</si>
  <si>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</si>
  <si>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Иные дотации </t>
  </si>
  <si>
    <t>1402</t>
  </si>
  <si>
    <t>Национальная оборона</t>
  </si>
  <si>
    <t>0200</t>
  </si>
  <si>
    <t>0203</t>
  </si>
  <si>
    <t>Мобилизационная и вневойсковая подготовка</t>
  </si>
  <si>
    <t>Подпрограмма "Медицинские кадры" на 2011-2013 годы</t>
  </si>
  <si>
    <t>0909</t>
  </si>
  <si>
    <t>0107</t>
  </si>
  <si>
    <t>Обеспечение проведения выборов и референдумов</t>
  </si>
  <si>
    <t>5225601</t>
  </si>
  <si>
    <t>6740000</t>
  </si>
  <si>
    <t>Закон Орловской области от 12 ноября 2008 года №832- ОЗ "О социальной поддержке граждан, усыновивших (удочеривших) детей-сирот и детей, оставшихся без попечения родителей"</t>
  </si>
  <si>
    <t>1403</t>
  </si>
  <si>
    <t xml:space="preserve">Программа наказов избирателей депутатам Покровского районного Совета народных депутатов </t>
  </si>
  <si>
    <t>Прочие межбюджетные трансферты общего характера</t>
  </si>
  <si>
    <t>Культура, кинематография</t>
  </si>
  <si>
    <t>Другие вопросы в области здравоохранения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</si>
  <si>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</si>
  <si>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310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</si>
  <si>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</si>
  <si>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</si>
  <si>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Учреждения культуры и мероприятия в сфере культуры и кинематографии</t>
  </si>
  <si>
    <t xml:space="preserve">Культура и кинематография 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</si>
  <si>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</t>
  </si>
  <si>
    <t>тыс.рублей</t>
  </si>
  <si>
    <t>1020102</t>
  </si>
  <si>
    <t>Бюджетные инвестиции в объекты капитального строительства собственности муниципальных образований</t>
  </si>
  <si>
    <t>Федеральная целевая программа "Социальное развитие села до 2013 года"</t>
  </si>
  <si>
    <t>Федеральная целевая программа "Жилище" на 2011 - 2015 годы</t>
  </si>
  <si>
    <t>1008800</t>
  </si>
  <si>
    <t>1008820</t>
  </si>
  <si>
    <t>Реализация государственных функций, связанных с общегосударственным управлением</t>
  </si>
  <si>
    <t>Финансовое обеспечение образовательного процесса в муниципальных общеобразовательных учреждениях в части исполнения государственных полномочий Орловской области</t>
  </si>
  <si>
    <t>Охрана семьи, материнства и детства</t>
  </si>
  <si>
    <t>6800000</t>
  </si>
  <si>
    <t>Компенсация учащимся образовательных учреждений Покровского района за проезд к месту учебы и обратно</t>
  </si>
  <si>
    <t>0409</t>
  </si>
  <si>
    <t>Дорожное хозяйство (дорожные фонды)</t>
  </si>
  <si>
    <t>Дорожное хозяйство</t>
  </si>
  <si>
    <t>3150000</t>
  </si>
  <si>
    <t>3150800</t>
  </si>
  <si>
    <t>Содержание автомобильных дорог и управление дорожным хозяйством</t>
  </si>
  <si>
    <t xml:space="preserve">       Другие вопросы в области охраны окружающей среды</t>
  </si>
  <si>
    <t>0605</t>
  </si>
  <si>
    <t>Долгосрочная районная целевая программа "Охрана окружающей среды и экологическая безопасность района на 2012-2014 годы"</t>
  </si>
  <si>
    <t>Другие вопросы в области охраны окружающей среды</t>
  </si>
  <si>
    <t>870</t>
  </si>
  <si>
    <t>Резервные средства</t>
  </si>
  <si>
    <t>Субвенции</t>
  </si>
  <si>
    <t>530</t>
  </si>
  <si>
    <t>511</t>
  </si>
  <si>
    <t>512</t>
  </si>
  <si>
    <t>Дотации бюджетам муниципальных образований на поддержку мер по обеспечению сбалансированности бюджетов</t>
  </si>
  <si>
    <t>611</t>
  </si>
  <si>
    <t>612</t>
  </si>
  <si>
    <t xml:space="preserve">Средства районного бюджета 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</si>
  <si>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</si>
  <si>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</si>
  <si>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Мероприятия по организации оздоровительной кампании детей</t>
  </si>
  <si>
    <t>6730300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</si>
  <si>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</si>
  <si>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900</t>
  </si>
  <si>
    <t>6730000</t>
  </si>
  <si>
    <t>Закон Орловской области от 22 августа 2005 года № 529-ОЗ "О гарантиях прав ребенка в Орловской области"</t>
  </si>
  <si>
    <t>6730200</t>
  </si>
  <si>
    <t>Меры социальной поддержки, предоставляемые детям-сиротам и детям, оставшимся без попечения родителей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</si>
  <si>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</si>
  <si>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6730202</t>
  </si>
  <si>
    <t>Публичные нормативные социальные выплаты</t>
  </si>
  <si>
    <t>322</t>
  </si>
  <si>
    <t>Субсидии гражданам на приобретение жилья</t>
  </si>
  <si>
    <t>Обеспечение жилыми помещениями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</si>
  <si>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5052100</t>
  </si>
  <si>
    <t>5052102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</si>
  <si>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</si>
  <si>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1020000</t>
  </si>
  <si>
    <t>Бюджетные инвестиции в объекты капитального строительства, не включенные в целевые программы</t>
  </si>
  <si>
    <t>Бюджетные инвестиции</t>
  </si>
  <si>
    <t>"Программа развития дошкольного образования Покровского района на 2011-2013 годы"</t>
  </si>
  <si>
    <t>Дворцы и дома культуры, выставочные центры, другие учреждения культуры</t>
  </si>
  <si>
    <t>4409901</t>
  </si>
  <si>
    <t>Обеспечение деятельности (оказание услуг) подведомственных учреждений</t>
  </si>
  <si>
    <t>6730203</t>
  </si>
  <si>
    <t>Мероприятия в области здравоохранения, спорта и физической культуры, туризма</t>
  </si>
  <si>
    <t xml:space="preserve"> Выравнивание бюджетной обеспеченности  поселений из районного фонда финансовой поддержки</t>
  </si>
  <si>
    <t>320</t>
  </si>
  <si>
    <t>Социальные выплаты гражданам, кроме публичных нормативных социальных выплат</t>
  </si>
  <si>
    <t>фед</t>
  </si>
  <si>
    <t>обл</t>
  </si>
  <si>
    <t>соб</t>
  </si>
  <si>
    <t>итого</t>
  </si>
  <si>
    <t>Выплата ежемесячной денежной компенсации педагогическим работникам муниципальных образовательных учреждений в целях содействия их обеспечению книгоиздательской продукцией и периодическими изданиями</t>
  </si>
  <si>
    <t>5215901</t>
  </si>
  <si>
    <t>Предоставление мер социальной поддержки в виде ежемесячной денежной компенсации на оплату жилого помещения, освещения и отопления педагогическим работникам образовательных учреждений Орловской области, муниципальных образовательных учреждений, проживающим и работающим в сельской местности, рабочих поселках (поселках городского типа)</t>
  </si>
  <si>
    <t>5215902</t>
  </si>
  <si>
    <t>7950013</t>
  </si>
  <si>
    <t>Районная ведомственная целевая программа "Развитие архивного дела в Покровском районе Орловской области на 2012-2016 годы"</t>
  </si>
  <si>
    <t>7950014</t>
  </si>
  <si>
    <t>Программа комплексного развития систем коммунальной инфраструктуры Покровского района на 2011-2013 гг.</t>
  </si>
  <si>
    <t>Средства бюджетов сельских (городского) поселений</t>
  </si>
  <si>
    <t>поселение</t>
  </si>
  <si>
    <t>Дотации на выравнивание бюджетной обеспеченности муниципальных образований</t>
  </si>
  <si>
    <t>Обеспечение жильем отдельных категорий граждан, установленных ФЗ от 12.01.1995 года №5-ФЗ"О ветеранах", в соответствии с Указом Президента РФ от 7.05.2008г №714 "Об обеспечении жильем ветеранов ВОВ 1941-1945 годов"</t>
  </si>
  <si>
    <t>Программа  по повышению безопасности дорожного движения на территории Покровского района на 2011-2013 годы</t>
  </si>
  <si>
    <t>Содержание ребенка в семье опекуна и приемной семье, а также вознаграждение, причитающееся приемному родителю</t>
  </si>
  <si>
    <t>Выплаты единовременного пособия при всех формах устройства детей, лишенных родительского попечения, в семью</t>
  </si>
  <si>
    <t>5520000</t>
  </si>
  <si>
    <t>5524700</t>
  </si>
  <si>
    <t>5524702</t>
  </si>
  <si>
    <t>Непрограммная часть в рамках межведомственной инвестиционной программы</t>
  </si>
  <si>
    <t>4520001</t>
  </si>
  <si>
    <t>Финансовое обеспечение групп финансово-хозяйственного обслуживания</t>
  </si>
  <si>
    <t>Программа наказов избирателей депутатам Покровского районного Совета народных депутатов</t>
  </si>
  <si>
    <t>Программа наказов избирателей депутатам Орловского областного Совета народных депутатов</t>
  </si>
  <si>
    <t>540</t>
  </si>
  <si>
    <t>Программа наказов избирателей депутатам  Орловского областного Совета народных депутатов</t>
  </si>
  <si>
    <t>1008830</t>
  </si>
  <si>
    <t>Подпрограмма "Стимулирование программ развития жилищного строительства субъектов Российской Федерации"</t>
  </si>
  <si>
    <t>Дотации</t>
  </si>
  <si>
    <t>Дотации бюджетам сельских и городского поселений на выделение грантов в целях поощрения достижения наилучших показателей деятельности органов местного самоуправления сельских и городского поселений</t>
  </si>
  <si>
    <t>5170900</t>
  </si>
  <si>
    <t>5170000</t>
  </si>
  <si>
    <t>3150200</t>
  </si>
  <si>
    <t>Поддержка дорожного хозяйства</t>
  </si>
  <si>
    <t>0700400</t>
  </si>
  <si>
    <t>Резервные фонды исполнительных органов государственной власти субъектов Российской Федерации</t>
  </si>
  <si>
    <t>Ведомственная структура расходов районного бюджета на 2013 год</t>
  </si>
  <si>
    <t>Программа поддержки развития и сохранения культуры и искусства Покровского района на 2011 - 2015 год</t>
  </si>
  <si>
    <t>Развитие КФХ и других малых форм хозяйствования в сельской местности в Покровском районе Орловской области на 2012-2015 годы</t>
  </si>
  <si>
    <t>доходы</t>
  </si>
  <si>
    <t>Распределение бюджетных ассигнований на 2013 год по разделам и подразделам классификации расходов бюджета</t>
  </si>
  <si>
    <t>Распределение бюджетных ассигнований на 2013 год по разделам и подразделам, целевым статьям и видам расходов классификации расходов бюджета</t>
  </si>
  <si>
    <t>Муниципальная целевая программа "Оформление права собственности на муниципальное имущество Покровского района Орловской области на 2013-2015 годы"</t>
  </si>
  <si>
    <t>Муниципальная целевая комплексная программа "Развитие муниципальной службы в Покровском районе на 2013-2015 годы"</t>
  </si>
  <si>
    <t>Муниципальная программа по энергосбережению и повышению энергетической эффективности Покровскго района на 2013-2016 гг.</t>
  </si>
  <si>
    <t>Иные бюджетные ассигнования</t>
  </si>
  <si>
    <t>Районная целевая программа "Обеспечение жильем специалистов на 2013-2015 годы"</t>
  </si>
  <si>
    <t>Муниципальная целевая программа «Ремонт улично-дорожной сети населенных пунктов района и развитие автомобильных дорог  общего пользования районного  значения Покровского района на 2012-2016 годы».</t>
  </si>
  <si>
    <t>Районная среднесрочная целевая программа "Молодежь Покровского района на 2013-2016 годы"</t>
  </si>
  <si>
    <t>Районная целевая программа «Оздоровление и отдых  детей в Покровском районе на 2013-2017 годы».</t>
  </si>
  <si>
    <t>роно</t>
  </si>
  <si>
    <t>рай</t>
  </si>
  <si>
    <t>Долгосрочная районная целевая программа «Развитие системы образования  Покровского района на 2011-2015 годы»</t>
  </si>
  <si>
    <t>Долгосрочная областная целевая программа "Развитие образования в Орловской области на 2011-2015 годы"</t>
  </si>
  <si>
    <t>5223300</t>
  </si>
  <si>
    <t>7950016</t>
  </si>
  <si>
    <t>7950017</t>
  </si>
  <si>
    <t>7950018</t>
  </si>
  <si>
    <t>7950019</t>
  </si>
  <si>
    <t>7950020</t>
  </si>
  <si>
    <t>7950021</t>
  </si>
  <si>
    <t>7950022</t>
  </si>
  <si>
    <t>7950023</t>
  </si>
  <si>
    <t>7950024</t>
  </si>
  <si>
    <t>Региональные целевые программы</t>
  </si>
  <si>
    <t>5220000</t>
  </si>
  <si>
    <t>Распределение бюджетных ассигнований по государственным и муниципальным программам на 2013 год</t>
  </si>
  <si>
    <t>к Решению СНД "О внесении изменений в решение Совета народных депутатов Покровского района "О районном бюджете на 2013 год и на плановый период 2014 и 2015 годов"</t>
  </si>
  <si>
    <t xml:space="preserve"> 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</si>
  <si>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5052104</t>
  </si>
  <si>
    <t>пос</t>
  </si>
  <si>
    <t>Учреждения, обеспечивающие предоставление услуг в сфере образования</t>
  </si>
  <si>
    <t>4350000</t>
  </si>
  <si>
    <t>4359900</t>
  </si>
  <si>
    <t xml:space="preserve"> Капитальный ремонт, непрограммная часть в рамках межведомственной инвестиционной программы</t>
  </si>
  <si>
    <t xml:space="preserve"> Межведомственная инвестиционная программа "Развитие и укрепление социальной и инженерной инфраструктуры Орловской области на 2013 год"</t>
  </si>
  <si>
    <t>Капитальный ремонт, непрограммная часть в рамках межведомственной инвестиционной программы</t>
  </si>
  <si>
    <t xml:space="preserve"> Мероприятия в области образования</t>
  </si>
  <si>
    <t>4360000</t>
  </si>
  <si>
    <t xml:space="preserve"> Модернизация региональных систем  общего образования</t>
  </si>
  <si>
    <t>4362100</t>
  </si>
  <si>
    <t>Реализация мероприятий федеральной целевой программы "Социальное развитие села до 2013 года"</t>
  </si>
  <si>
    <t>1001199</t>
  </si>
  <si>
    <t>Подпрограмма "Улучшение условий и охраны труда в Орловской области на 2013 - 2016 годы" государственной программы Орловской области "Содействие занятости населения Орловской области до 2017 года"</t>
  </si>
  <si>
    <t>5224200</t>
  </si>
  <si>
    <t xml:space="preserve"> Региональные целевые программы</t>
  </si>
  <si>
    <t>4362700</t>
  </si>
  <si>
    <t>Модернизация региональных систем дошкольного образования</t>
  </si>
  <si>
    <t>Мероприятия в области образования</t>
  </si>
  <si>
    <t>5052105</t>
  </si>
  <si>
    <t>Обеспечение предоставления жилых помещений детям-сиротам и детям, оставшимся без попечения родителей, лицам из их числа по договорам социального найма в соответствии с судебными решениями</t>
  </si>
  <si>
    <t>Государственная поддержка муниципальных учреждений культуры, находящихся на территориях сельских поселений</t>
  </si>
  <si>
    <t>4401601</t>
  </si>
  <si>
    <t>4401602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</si>
  <si>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</si>
  <si>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Субсидии из областного бюджета бюджетам муниципальных районов (городских округов) на доведение средней заработной платы педагогических работников, реализующих программу дошкольного образования, до средней заработной платы в общем образовании Орловской области</t>
  </si>
  <si>
    <t>5205200</t>
  </si>
  <si>
    <t>Исполнено на 01.01.2014г.</t>
  </si>
  <si>
    <t>% исполнения</t>
  </si>
  <si>
    <t>Субсидия из областного бюджета бюджетам муниципальных районов (городских округов) на повышение заработной платы работникам муниципальных учреждений культуры</t>
  </si>
  <si>
    <t>5205300</t>
  </si>
  <si>
    <t>Приложение 5</t>
  </si>
  <si>
    <t>Приложение 4</t>
  </si>
  <si>
    <t>Приложение 3</t>
  </si>
  <si>
    <t>Приложение 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</si>
</sst>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\ _р_._-;\-* #,##0\ _р_._-;_-* &quot;-&quot;\ _р_._-;_-@_-"/>
    <numFmt numFmtId="167" formatCode="_-* #,##0.00\ _р_._-;\-* #,##0.00\ _р_._-;_-* &quot;-&quot;??\ _р_._-;_-@_-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  <numFmt numFmtId="181" formatCode="#,##0.0000"/>
    <numFmt numFmtId="182" formatCode="#,##0.00000"/>
    <numFmt numFmtId="183" formatCode="0.0_ ;\-0.0\ "/>
    <numFmt numFmtId="184" formatCode="0.0;[Red]0.0"/>
    <numFmt numFmtId="185" formatCode="[$-FC19]d\ mmmm\ yyyy\ &quot;г.&quot;"/>
    <numFmt numFmtId="186" formatCode="000000"/>
    <numFmt numFmtId="187" formatCode="0.000%"/>
    <numFmt numFmtId="188" formatCode="#,##0.000000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 Cyr"/>
      <family val="1"/>
    </font>
    <font>
      <sz val="8"/>
      <name val="Tahoma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2"/>
      <name val="Arial"/>
      <family val="2"/>
    </font>
    <font>
      <b/>
      <i/>
      <sz val="9"/>
      <name val="Arial Cyr"/>
      <family val="2"/>
    </font>
    <font>
      <b/>
      <sz val="9"/>
      <name val="Arial"/>
      <family val="2"/>
    </font>
    <font>
      <b/>
      <i/>
      <sz val="12"/>
      <name val="Arial Cyr"/>
      <family val="2"/>
    </font>
    <font>
      <sz val="12"/>
      <name val="Arial"/>
      <family val="2"/>
    </font>
    <font>
      <b/>
      <sz val="8"/>
      <name val="Tahoma"/>
      <family val="2"/>
    </font>
    <font>
      <b/>
      <sz val="11"/>
      <color indexed="10"/>
      <name val="Arial Cyr"/>
      <family val="2"/>
    </font>
    <font>
      <sz val="11"/>
      <color indexed="10"/>
      <name val="Arial Cyr"/>
      <family val="0"/>
    </font>
    <font>
      <b/>
      <sz val="10"/>
      <color indexed="10"/>
      <name val="Arial"/>
      <family val="2"/>
    </font>
    <font>
      <i/>
      <sz val="10"/>
      <color indexed="10"/>
      <name val="Arial Cyr"/>
      <family val="2"/>
    </font>
    <font>
      <b/>
      <sz val="12"/>
      <name val="Arial Cyr"/>
      <family val="0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Times New Roman Cyr"/>
      <family val="1"/>
    </font>
    <font>
      <sz val="11"/>
      <name val="Calibri"/>
      <family val="2"/>
    </font>
    <font>
      <i/>
      <sz val="11"/>
      <name val="Arial Cyr"/>
      <family val="0"/>
    </font>
    <font>
      <b/>
      <i/>
      <sz val="11"/>
      <name val="Arial Cyr"/>
      <family val="2"/>
    </font>
    <font>
      <b/>
      <sz val="10"/>
      <color indexed="10"/>
      <name val="Arial Cyr"/>
      <family val="2"/>
    </font>
    <font>
      <b/>
      <i/>
      <sz val="10"/>
      <name val="Arial"/>
      <family val="2"/>
    </font>
    <font>
      <sz val="8"/>
      <name val="Arial Cyr"/>
      <family val="0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2" applyNumberFormat="0" applyAlignment="0" applyProtection="0"/>
    <xf numFmtId="0" fontId="63" fillId="27" borderId="3" applyNumberFormat="0" applyAlignment="0" applyProtection="0"/>
    <xf numFmtId="0" fontId="64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28" borderId="8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4" fillId="0" borderId="10" applyNumberFormat="0" applyFill="0" applyAlignment="0" applyProtection="0"/>
    <xf numFmtId="0" fontId="75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32" borderId="0" applyNumberFormat="0" applyBorder="0" applyAlignment="0" applyProtection="0"/>
    <xf numFmtId="0" fontId="5" fillId="0" borderId="0">
      <alignment/>
      <protection locked="0"/>
    </xf>
  </cellStyleXfs>
  <cellXfs count="265">
    <xf numFmtId="0" fontId="0" fillId="0" borderId="0" xfId="0" applyAlignment="1">
      <alignment/>
    </xf>
    <xf numFmtId="0" fontId="9" fillId="0" borderId="0" xfId="42" applyFont="1" applyFill="1" applyBorder="1" applyAlignment="1" applyProtection="1">
      <alignment horizontal="left" wrapText="1" indent="1"/>
      <protection/>
    </xf>
    <xf numFmtId="0" fontId="9" fillId="0" borderId="11" xfId="42" applyFont="1" applyFill="1" applyBorder="1" applyAlignment="1" applyProtection="1">
      <alignment wrapText="1"/>
      <protection/>
    </xf>
    <xf numFmtId="0" fontId="9" fillId="0" borderId="11" xfId="42" applyFont="1" applyFill="1" applyBorder="1" applyAlignment="1" applyProtection="1">
      <alignment horizontal="left" wrapText="1" indent="1"/>
      <protection/>
    </xf>
    <xf numFmtId="0" fontId="3" fillId="0" borderId="11" xfId="42" applyFont="1" applyFill="1" applyBorder="1" applyAlignment="1" applyProtection="1">
      <alignment horizontal="left" wrapText="1" indent="2"/>
      <protection/>
    </xf>
    <xf numFmtId="0" fontId="0" fillId="0" borderId="11" xfId="42" applyFont="1" applyFill="1" applyBorder="1" applyAlignment="1" applyProtection="1">
      <alignment horizontal="left" wrapText="1" indent="3"/>
      <protection/>
    </xf>
    <xf numFmtId="0" fontId="8" fillId="0" borderId="11" xfId="42" applyFont="1" applyFill="1" applyBorder="1" applyAlignment="1" applyProtection="1">
      <alignment horizontal="left" wrapText="1" indent="4"/>
      <protection/>
    </xf>
    <xf numFmtId="165" fontId="9" fillId="0" borderId="11" xfId="42" applyNumberFormat="1" applyFont="1" applyFill="1" applyBorder="1" applyAlignment="1" applyProtection="1">
      <alignment horizontal="center" vertical="center" shrinkToFit="1"/>
      <protection/>
    </xf>
    <xf numFmtId="165" fontId="3" fillId="0" borderId="11" xfId="42" applyNumberFormat="1" applyFont="1" applyFill="1" applyBorder="1" applyAlignment="1" applyProtection="1">
      <alignment horizontal="center" vertical="center" shrinkToFit="1"/>
      <protection/>
    </xf>
    <xf numFmtId="165" fontId="0" fillId="0" borderId="11" xfId="42" applyNumberFormat="1" applyFont="1" applyFill="1" applyBorder="1" applyAlignment="1" applyProtection="1">
      <alignment horizontal="center" vertical="center" shrinkToFit="1"/>
      <protection/>
    </xf>
    <xf numFmtId="49" fontId="9" fillId="0" borderId="11" xfId="42" applyNumberFormat="1" applyFont="1" applyFill="1" applyBorder="1" applyAlignment="1" applyProtection="1">
      <alignment horizontal="center" shrinkToFit="1"/>
      <protection/>
    </xf>
    <xf numFmtId="49" fontId="3" fillId="0" borderId="11" xfId="42" applyNumberFormat="1" applyFont="1" applyFill="1" applyBorder="1" applyAlignment="1" applyProtection="1">
      <alignment horizontal="center" shrinkToFit="1"/>
      <protection/>
    </xf>
    <xf numFmtId="49" fontId="0" fillId="0" borderId="11" xfId="42" applyNumberFormat="1" applyFont="1" applyFill="1" applyBorder="1" applyAlignment="1" applyProtection="1">
      <alignment horizontal="center" shrinkToFit="1"/>
      <protection/>
    </xf>
    <xf numFmtId="49" fontId="8" fillId="0" borderId="11" xfId="42" applyNumberFormat="1" applyFont="1" applyFill="1" applyBorder="1" applyAlignment="1" applyProtection="1">
      <alignment horizontal="center" shrinkToFit="1"/>
      <protection/>
    </xf>
    <xf numFmtId="49" fontId="9" fillId="0" borderId="0" xfId="42" applyNumberFormat="1" applyFont="1" applyFill="1" applyBorder="1" applyAlignment="1" applyProtection="1">
      <alignment horizontal="center" shrinkToFit="1"/>
      <protection/>
    </xf>
    <xf numFmtId="49" fontId="13" fillId="0" borderId="11" xfId="0" applyNumberFormat="1" applyFont="1" applyFill="1" applyBorder="1" applyAlignment="1" applyProtection="1">
      <alignment horizontal="center" shrinkToFit="1"/>
      <protection locked="0"/>
    </xf>
    <xf numFmtId="49" fontId="13" fillId="0" borderId="11" xfId="0" applyNumberFormat="1" applyFont="1" applyFill="1" applyBorder="1" applyAlignment="1" applyProtection="1">
      <alignment horizontal="center" shrinkToFit="1"/>
      <protection locked="0"/>
    </xf>
    <xf numFmtId="0" fontId="3" fillId="0" borderId="0" xfId="42" applyFont="1" applyFill="1" applyBorder="1" applyAlignment="1" applyProtection="1">
      <alignment horizontal="center" wrapText="1"/>
      <protection/>
    </xf>
    <xf numFmtId="0" fontId="10" fillId="0" borderId="0" xfId="65" applyFont="1" applyFill="1" applyBorder="1" applyProtection="1">
      <alignment/>
      <protection/>
    </xf>
    <xf numFmtId="0" fontId="10" fillId="0" borderId="0" xfId="65" applyFont="1" applyFill="1" applyBorder="1" applyAlignment="1" applyProtection="1">
      <alignment shrinkToFit="1"/>
      <protection/>
    </xf>
    <xf numFmtId="0" fontId="10" fillId="0" borderId="0" xfId="64" applyFont="1" applyFill="1" applyBorder="1" applyProtection="1">
      <alignment/>
      <protection/>
    </xf>
    <xf numFmtId="49" fontId="10" fillId="0" borderId="0" xfId="64" applyNumberFormat="1" applyFont="1" applyFill="1" applyBorder="1" applyProtection="1">
      <alignment/>
      <protection/>
    </xf>
    <xf numFmtId="0" fontId="10" fillId="0" borderId="0" xfId="64" applyFont="1" applyFill="1" applyBorder="1" applyAlignment="1" applyProtection="1">
      <alignment shrinkToFit="1"/>
      <protection/>
    </xf>
    <xf numFmtId="0" fontId="10" fillId="33" borderId="0" xfId="64" applyFont="1" applyFill="1" applyBorder="1" applyProtection="1">
      <alignment/>
      <protection/>
    </xf>
    <xf numFmtId="0" fontId="12" fillId="0" borderId="0" xfId="64" applyFont="1" applyFill="1" applyBorder="1" applyProtection="1">
      <alignment/>
      <protection/>
    </xf>
    <xf numFmtId="0" fontId="10" fillId="34" borderId="0" xfId="64" applyFont="1" applyFill="1" applyBorder="1" applyProtection="1">
      <alignment/>
      <protection/>
    </xf>
    <xf numFmtId="0" fontId="0" fillId="0" borderId="12" xfId="42" applyFont="1" applyFill="1" applyBorder="1" applyAlignment="1" applyProtection="1">
      <alignment horizontal="left" wrapText="1" indent="3"/>
      <protection/>
    </xf>
    <xf numFmtId="49" fontId="0" fillId="0" borderId="12" xfId="42" applyNumberFormat="1" applyFont="1" applyFill="1" applyBorder="1" applyAlignment="1" applyProtection="1">
      <alignment horizontal="center" shrinkToFit="1"/>
      <protection/>
    </xf>
    <xf numFmtId="0" fontId="12" fillId="0" borderId="11" xfId="64" applyFont="1" applyFill="1" applyBorder="1" applyProtection="1">
      <alignment/>
      <protection/>
    </xf>
    <xf numFmtId="0" fontId="12" fillId="0" borderId="11" xfId="64" applyFont="1" applyFill="1" applyBorder="1" applyAlignment="1" applyProtection="1">
      <alignment shrinkToFit="1"/>
      <protection/>
    </xf>
    <xf numFmtId="49" fontId="21" fillId="0" borderId="11" xfId="42" applyNumberFormat="1" applyFont="1" applyFill="1" applyBorder="1" applyAlignment="1" applyProtection="1">
      <alignment horizontal="center" shrinkToFit="1"/>
      <protection/>
    </xf>
    <xf numFmtId="165" fontId="22" fillId="0" borderId="11" xfId="64" applyNumberFormat="1" applyFont="1" applyFill="1" applyBorder="1" applyAlignment="1" applyProtection="1">
      <alignment horizontal="center" vertical="distributed" shrinkToFit="1"/>
      <protection/>
    </xf>
    <xf numFmtId="0" fontId="22" fillId="0" borderId="0" xfId="64" applyFont="1" applyFill="1" applyBorder="1" applyProtection="1">
      <alignment/>
      <protection/>
    </xf>
    <xf numFmtId="0" fontId="10" fillId="0" borderId="11" xfId="64" applyFont="1" applyFill="1" applyBorder="1" applyAlignment="1" applyProtection="1">
      <alignment shrinkToFit="1"/>
      <protection/>
    </xf>
    <xf numFmtId="0" fontId="10" fillId="0" borderId="11" xfId="64" applyFont="1" applyFill="1" applyBorder="1" applyProtection="1">
      <alignment/>
      <protection/>
    </xf>
    <xf numFmtId="0" fontId="23" fillId="0" borderId="11" xfId="42" applyFont="1" applyFill="1" applyBorder="1" applyAlignment="1" applyProtection="1">
      <alignment horizontal="left" wrapText="1" indent="4"/>
      <protection/>
    </xf>
    <xf numFmtId="0" fontId="13" fillId="0" borderId="11" xfId="42" applyFont="1" applyFill="1" applyBorder="1" applyAlignment="1" applyProtection="1">
      <alignment horizontal="left" wrapText="1" indent="3"/>
      <protection/>
    </xf>
    <xf numFmtId="49" fontId="0" fillId="0" borderId="11" xfId="42" applyNumberFormat="1" applyFont="1" applyFill="1" applyBorder="1" applyAlignment="1" applyProtection="1">
      <alignment horizontal="center" shrinkToFit="1"/>
      <protection/>
    </xf>
    <xf numFmtId="0" fontId="1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42" applyFont="1" applyFill="1" applyBorder="1" applyAlignment="1" applyProtection="1">
      <alignment horizontal="left" wrapText="1" indent="4"/>
      <protection/>
    </xf>
    <xf numFmtId="49" fontId="8" fillId="0" borderId="12" xfId="42" applyNumberFormat="1" applyFont="1" applyFill="1" applyBorder="1" applyAlignment="1" applyProtection="1">
      <alignment horizontal="center" shrinkToFit="1"/>
      <protection/>
    </xf>
    <xf numFmtId="49" fontId="13" fillId="0" borderId="11" xfId="42" applyNumberFormat="1" applyFont="1" applyFill="1" applyBorder="1" applyAlignment="1" applyProtection="1">
      <alignment horizontal="center" shrinkToFit="1"/>
      <protection/>
    </xf>
    <xf numFmtId="49" fontId="19" fillId="0" borderId="11" xfId="42" applyNumberFormat="1" applyFont="1" applyFill="1" applyBorder="1" applyAlignment="1" applyProtection="1">
      <alignment horizontal="center" shrinkToFit="1"/>
      <protection/>
    </xf>
    <xf numFmtId="0" fontId="19" fillId="0" borderId="11" xfId="42" applyFont="1" applyFill="1" applyBorder="1" applyAlignment="1" applyProtection="1">
      <alignment horizontal="left" wrapText="1" indent="4"/>
      <protection/>
    </xf>
    <xf numFmtId="49" fontId="9" fillId="0" borderId="11" xfId="42" applyNumberFormat="1" applyFont="1" applyFill="1" applyBorder="1" applyAlignment="1" applyProtection="1">
      <alignment horizontal="center" shrinkToFit="1"/>
      <protection/>
    </xf>
    <xf numFmtId="49" fontId="23" fillId="0" borderId="11" xfId="42" applyNumberFormat="1" applyFont="1" applyFill="1" applyBorder="1" applyAlignment="1" applyProtection="1">
      <alignment horizontal="center" shrinkToFit="1"/>
      <protection/>
    </xf>
    <xf numFmtId="0" fontId="20" fillId="0" borderId="0" xfId="64" applyFont="1" applyFill="1" applyBorder="1" applyProtection="1">
      <alignment/>
      <protection/>
    </xf>
    <xf numFmtId="0" fontId="3" fillId="0" borderId="11" xfId="42" applyFont="1" applyFill="1" applyBorder="1" applyAlignment="1" applyProtection="1">
      <alignment horizontal="left" wrapText="1" indent="1"/>
      <protection/>
    </xf>
    <xf numFmtId="49" fontId="3" fillId="0" borderId="11" xfId="42" applyNumberFormat="1" applyFont="1" applyFill="1" applyBorder="1" applyAlignment="1" applyProtection="1">
      <alignment horizontal="center" shrinkToFit="1"/>
      <protection/>
    </xf>
    <xf numFmtId="0" fontId="9" fillId="0" borderId="11" xfId="42" applyFont="1" applyFill="1" applyBorder="1" applyAlignment="1" applyProtection="1">
      <alignment horizontal="left" wrapText="1" indent="2"/>
      <protection/>
    </xf>
    <xf numFmtId="0" fontId="8" fillId="0" borderId="11" xfId="42" applyFont="1" applyFill="1" applyBorder="1" applyAlignment="1" applyProtection="1">
      <alignment horizontal="left" wrapText="1" indent="4"/>
      <protection/>
    </xf>
    <xf numFmtId="179" fontId="12" fillId="0" borderId="11" xfId="64" applyNumberFormat="1" applyFont="1" applyFill="1" applyBorder="1" applyAlignment="1" applyProtection="1">
      <alignment horizontal="center" vertical="distributed" shrinkToFit="1"/>
      <protection/>
    </xf>
    <xf numFmtId="180" fontId="10" fillId="0" borderId="0" xfId="64" applyNumberFormat="1" applyFont="1" applyFill="1" applyBorder="1" applyProtection="1">
      <alignment/>
      <protection/>
    </xf>
    <xf numFmtId="179" fontId="10" fillId="0" borderId="11" xfId="64" applyNumberFormat="1" applyFont="1" applyFill="1" applyBorder="1" applyProtection="1">
      <alignment/>
      <protection/>
    </xf>
    <xf numFmtId="180" fontId="3" fillId="0" borderId="11" xfId="42" applyNumberFormat="1" applyFont="1" applyFill="1" applyBorder="1" applyAlignment="1" applyProtection="1">
      <alignment horizontal="center" shrinkToFit="1"/>
      <protection/>
    </xf>
    <xf numFmtId="180" fontId="9" fillId="0" borderId="11" xfId="42" applyNumberFormat="1" applyFont="1" applyFill="1" applyBorder="1" applyAlignment="1" applyProtection="1">
      <alignment horizontal="center" shrinkToFit="1"/>
      <protection/>
    </xf>
    <xf numFmtId="180" fontId="9" fillId="0" borderId="11" xfId="42" applyNumberFormat="1" applyFont="1" applyFill="1" applyBorder="1" applyAlignment="1" applyProtection="1">
      <alignment horizontal="center" shrinkToFit="1"/>
      <protection/>
    </xf>
    <xf numFmtId="180" fontId="12" fillId="0" borderId="11" xfId="64" applyNumberFormat="1" applyFont="1" applyFill="1" applyBorder="1" applyAlignment="1" applyProtection="1">
      <alignment horizontal="center"/>
      <protection/>
    </xf>
    <xf numFmtId="49" fontId="0" fillId="0" borderId="11" xfId="0" applyNumberFormat="1" applyFont="1" applyFill="1" applyBorder="1" applyAlignment="1" applyProtection="1">
      <alignment horizontal="center" shrinkToFit="1"/>
      <protection locked="0"/>
    </xf>
    <xf numFmtId="180" fontId="10" fillId="0" borderId="11" xfId="64" applyNumberFormat="1" applyFont="1" applyFill="1" applyBorder="1" applyAlignment="1" applyProtection="1">
      <alignment horizontal="center"/>
      <protection/>
    </xf>
    <xf numFmtId="180" fontId="0" fillId="0" borderId="11" xfId="42" applyNumberFormat="1" applyFont="1" applyFill="1" applyBorder="1" applyAlignment="1" applyProtection="1">
      <alignment horizontal="center" shrinkToFit="1"/>
      <protection/>
    </xf>
    <xf numFmtId="180" fontId="8" fillId="0" borderId="11" xfId="42" applyNumberFormat="1" applyFont="1" applyFill="1" applyBorder="1" applyAlignment="1" applyProtection="1">
      <alignment horizontal="center" shrinkToFit="1"/>
      <protection/>
    </xf>
    <xf numFmtId="179" fontId="10" fillId="0" borderId="0" xfId="64" applyNumberFormat="1" applyFont="1" applyFill="1" applyBorder="1" applyProtection="1">
      <alignment/>
      <protection/>
    </xf>
    <xf numFmtId="49" fontId="8" fillId="0" borderId="11" xfId="42" applyNumberFormat="1" applyFont="1" applyFill="1" applyBorder="1" applyAlignment="1" applyProtection="1">
      <alignment horizontal="center" shrinkToFit="1"/>
      <protection/>
    </xf>
    <xf numFmtId="49" fontId="0" fillId="0" borderId="11" xfId="0" applyNumberFormat="1" applyFont="1" applyFill="1" applyBorder="1" applyAlignment="1" applyProtection="1">
      <alignment horizontal="center" shrinkToFit="1"/>
      <protection locked="0"/>
    </xf>
    <xf numFmtId="0" fontId="20" fillId="0" borderId="11" xfId="64" applyFont="1" applyFill="1" applyBorder="1" applyProtection="1">
      <alignment/>
      <protection/>
    </xf>
    <xf numFmtId="180" fontId="22" fillId="0" borderId="11" xfId="64" applyNumberFormat="1" applyFont="1" applyFill="1" applyBorder="1" applyAlignment="1" applyProtection="1">
      <alignment horizontal="center" shrinkToFit="1"/>
      <protection/>
    </xf>
    <xf numFmtId="0" fontId="10" fillId="35" borderId="0" xfId="64" applyFont="1" applyFill="1" applyBorder="1" applyProtection="1">
      <alignment/>
      <protection/>
    </xf>
    <xf numFmtId="0" fontId="10" fillId="36" borderId="0" xfId="64" applyFont="1" applyFill="1" applyBorder="1" applyProtection="1">
      <alignment/>
      <protection/>
    </xf>
    <xf numFmtId="0" fontId="12" fillId="33" borderId="0" xfId="64" applyFont="1" applyFill="1" applyBorder="1" applyProtection="1">
      <alignment/>
      <protection/>
    </xf>
    <xf numFmtId="0" fontId="0" fillId="0" borderId="11" xfId="42" applyFont="1" applyFill="1" applyBorder="1" applyAlignment="1" applyProtection="1">
      <alignment horizontal="left" wrapText="1"/>
      <protection/>
    </xf>
    <xf numFmtId="180" fontId="27" fillId="0" borderId="11" xfId="42" applyNumberFormat="1" applyFont="1" applyFill="1" applyBorder="1" applyAlignment="1" applyProtection="1">
      <alignment horizontal="center" shrinkToFit="1"/>
      <protection/>
    </xf>
    <xf numFmtId="0" fontId="9" fillId="0" borderId="12" xfId="42" applyFont="1" applyFill="1" applyBorder="1" applyAlignment="1" applyProtection="1">
      <alignment horizontal="center" vertical="center" wrapText="1"/>
      <protection hidden="1"/>
    </xf>
    <xf numFmtId="0" fontId="9" fillId="0" borderId="13" xfId="42" applyFont="1" applyFill="1" applyBorder="1" applyAlignment="1" applyProtection="1">
      <alignment horizontal="center" vertical="center" wrapText="1"/>
      <protection hidden="1"/>
    </xf>
    <xf numFmtId="0" fontId="9" fillId="0" borderId="14" xfId="42" applyFont="1" applyFill="1" applyBorder="1" applyAlignment="1" applyProtection="1">
      <alignment horizontal="center" vertical="center" wrapText="1"/>
      <protection hidden="1"/>
    </xf>
    <xf numFmtId="0" fontId="10" fillId="37" borderId="0" xfId="64" applyFont="1" applyFill="1" applyBorder="1" applyProtection="1">
      <alignment/>
      <protection/>
    </xf>
    <xf numFmtId="179" fontId="9" fillId="0" borderId="11" xfId="42" applyNumberFormat="1" applyFont="1" applyFill="1" applyBorder="1" applyAlignment="1" applyProtection="1">
      <alignment horizontal="center" vertical="center" shrinkToFit="1"/>
      <protection/>
    </xf>
    <xf numFmtId="180" fontId="29" fillId="0" borderId="11" xfId="42" applyNumberFormat="1" applyFont="1" applyFill="1" applyBorder="1" applyAlignment="1" applyProtection="1">
      <alignment horizontal="center" shrinkToFit="1"/>
      <protection/>
    </xf>
    <xf numFmtId="180" fontId="26" fillId="0" borderId="11" xfId="42" applyNumberFormat="1" applyFont="1" applyFill="1" applyBorder="1" applyAlignment="1" applyProtection="1">
      <alignment horizontal="center" shrinkToFit="1"/>
      <protection/>
    </xf>
    <xf numFmtId="49" fontId="0" fillId="0" borderId="11" xfId="42" applyNumberFormat="1" applyFont="1" applyFill="1" applyBorder="1" applyAlignment="1" applyProtection="1">
      <alignment horizontal="center" shrinkToFit="1"/>
      <protection/>
    </xf>
    <xf numFmtId="165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42" applyFont="1" applyFill="1" applyBorder="1" applyAlignment="1" applyProtection="1">
      <alignment wrapText="1"/>
      <protection/>
    </xf>
    <xf numFmtId="0" fontId="10" fillId="38" borderId="0" xfId="64" applyFont="1" applyFill="1" applyBorder="1" applyProtection="1">
      <alignment/>
      <protection/>
    </xf>
    <xf numFmtId="180" fontId="28" fillId="0" borderId="11" xfId="64" applyNumberFormat="1" applyFont="1" applyFill="1" applyBorder="1" applyAlignment="1" applyProtection="1">
      <alignment horizontal="center"/>
      <protection/>
    </xf>
    <xf numFmtId="0" fontId="3" fillId="0" borderId="11" xfId="42" applyFont="1" applyFill="1" applyBorder="1" applyAlignment="1" applyProtection="1">
      <alignment horizontal="left" wrapText="1" indent="4"/>
      <protection/>
    </xf>
    <xf numFmtId="0" fontId="3" fillId="0" borderId="11" xfId="42" applyFont="1" applyFill="1" applyBorder="1" applyAlignment="1" applyProtection="1">
      <alignment horizontal="left" wrapText="1"/>
      <protection/>
    </xf>
    <xf numFmtId="0" fontId="20" fillId="0" borderId="0" xfId="64" applyFont="1" applyFill="1" applyBorder="1" applyAlignment="1" applyProtection="1">
      <alignment wrapText="1"/>
      <protection/>
    </xf>
    <xf numFmtId="0" fontId="20" fillId="0" borderId="11" xfId="42" applyFont="1" applyFill="1" applyBorder="1" applyAlignment="1" applyProtection="1">
      <alignment horizontal="left" wrapText="1"/>
      <protection/>
    </xf>
    <xf numFmtId="49" fontId="20" fillId="0" borderId="11" xfId="42" applyNumberFormat="1" applyFont="1" applyFill="1" applyBorder="1" applyAlignment="1" applyProtection="1">
      <alignment horizontal="center" wrapText="1" shrinkToFit="1"/>
      <protection/>
    </xf>
    <xf numFmtId="179" fontId="20" fillId="0" borderId="11" xfId="42" applyNumberFormat="1" applyFont="1" applyFill="1" applyBorder="1" applyAlignment="1" applyProtection="1">
      <alignment horizontal="center" vertical="center" wrapText="1" shrinkToFit="1"/>
      <protection/>
    </xf>
    <xf numFmtId="0" fontId="20" fillId="0" borderId="11" xfId="42" applyFont="1" applyFill="1" applyBorder="1" applyAlignment="1" applyProtection="1">
      <alignment wrapText="1"/>
      <protection/>
    </xf>
    <xf numFmtId="179" fontId="20" fillId="0" borderId="11" xfId="64" applyNumberFormat="1" applyFont="1" applyFill="1" applyBorder="1" applyAlignment="1" applyProtection="1">
      <alignment wrapText="1"/>
      <protection/>
    </xf>
    <xf numFmtId="49" fontId="20" fillId="0" borderId="11" xfId="42" applyNumberFormat="1" applyFont="1" applyFill="1" applyBorder="1" applyAlignment="1" applyProtection="1">
      <alignment horizontal="left" wrapText="1" shrinkToFit="1"/>
      <protection/>
    </xf>
    <xf numFmtId="0" fontId="10" fillId="0" borderId="0" xfId="64" applyFont="1" applyFill="1" applyBorder="1" applyAlignment="1" applyProtection="1">
      <alignment horizontal="right"/>
      <protection/>
    </xf>
    <xf numFmtId="179" fontId="20" fillId="0" borderId="11" xfId="42" applyNumberFormat="1" applyFont="1" applyFill="1" applyBorder="1" applyAlignment="1" applyProtection="1">
      <alignment horizontal="right" vertical="center" wrapText="1" shrinkToFit="1"/>
      <protection/>
    </xf>
    <xf numFmtId="179" fontId="10" fillId="0" borderId="11" xfId="64" applyNumberFormat="1" applyFont="1" applyFill="1" applyBorder="1" applyAlignment="1" applyProtection="1">
      <alignment horizontal="right"/>
      <protection/>
    </xf>
    <xf numFmtId="179" fontId="9" fillId="0" borderId="11" xfId="42" applyNumberFormat="1" applyFont="1" applyFill="1" applyBorder="1" applyAlignment="1" applyProtection="1">
      <alignment horizontal="right" vertical="center" shrinkToFit="1"/>
      <protection/>
    </xf>
    <xf numFmtId="179" fontId="20" fillId="0" borderId="11" xfId="64" applyNumberFormat="1" applyFont="1" applyFill="1" applyBorder="1" applyAlignment="1" applyProtection="1">
      <alignment horizontal="right" wrapText="1"/>
      <protection/>
    </xf>
    <xf numFmtId="179" fontId="12" fillId="0" borderId="11" xfId="64" applyNumberFormat="1" applyFont="1" applyFill="1" applyBorder="1" applyAlignment="1" applyProtection="1">
      <alignment horizontal="right" vertical="distributed" shrinkToFit="1"/>
      <protection/>
    </xf>
    <xf numFmtId="179" fontId="10" fillId="0" borderId="0" xfId="64" applyNumberFormat="1" applyFont="1" applyFill="1" applyBorder="1" applyAlignment="1" applyProtection="1">
      <alignment horizontal="right"/>
      <protection/>
    </xf>
    <xf numFmtId="49" fontId="8" fillId="33" borderId="11" xfId="42" applyNumberFormat="1" applyFont="1" applyFill="1" applyBorder="1" applyAlignment="1" applyProtection="1">
      <alignment horizontal="center" shrinkToFit="1"/>
      <protection/>
    </xf>
    <xf numFmtId="180" fontId="9" fillId="35" borderId="11" xfId="42" applyNumberFormat="1" applyFont="1" applyFill="1" applyBorder="1" applyAlignment="1" applyProtection="1">
      <alignment horizontal="center" shrinkToFit="1"/>
      <protection/>
    </xf>
    <xf numFmtId="180" fontId="3" fillId="35" borderId="11" xfId="42" applyNumberFormat="1" applyFont="1" applyFill="1" applyBorder="1" applyAlignment="1" applyProtection="1">
      <alignment horizontal="center" shrinkToFit="1"/>
      <protection/>
    </xf>
    <xf numFmtId="180" fontId="26" fillId="0" borderId="11" xfId="42" applyNumberFormat="1" applyFont="1" applyFill="1" applyBorder="1" applyAlignment="1" applyProtection="1">
      <alignment horizontal="center" shrinkToFit="1"/>
      <protection/>
    </xf>
    <xf numFmtId="0" fontId="0" fillId="0" borderId="11" xfId="42" applyFont="1" applyFill="1" applyBorder="1" applyAlignment="1" applyProtection="1">
      <alignment horizontal="left" wrapText="1" indent="3"/>
      <protection/>
    </xf>
    <xf numFmtId="180" fontId="19" fillId="0" borderId="11" xfId="42" applyNumberFormat="1" applyFont="1" applyFill="1" applyBorder="1" applyAlignment="1" applyProtection="1">
      <alignment horizontal="center" shrinkToFit="1"/>
      <protection/>
    </xf>
    <xf numFmtId="0" fontId="0" fillId="0" borderId="11" xfId="42" applyFont="1" applyFill="1" applyBorder="1" applyAlignment="1" applyProtection="1">
      <alignment horizontal="left" wrapText="1" indent="3"/>
      <protection/>
    </xf>
    <xf numFmtId="1" fontId="24" fillId="0" borderId="0" xfId="64" applyNumberFormat="1" applyFont="1" applyFill="1" applyBorder="1" applyAlignment="1" applyProtection="1">
      <alignment/>
      <protection/>
    </xf>
    <xf numFmtId="0" fontId="0" fillId="0" borderId="11" xfId="42" applyFont="1" applyFill="1" applyBorder="1" applyAlignment="1" applyProtection="1">
      <alignment horizontal="left" wrapText="1" indent="4"/>
      <protection/>
    </xf>
    <xf numFmtId="49" fontId="0" fillId="0" borderId="11" xfId="0" applyNumberFormat="1" applyFill="1" applyBorder="1" applyAlignment="1" applyProtection="1">
      <alignment horizontal="center" shrinkToFit="1"/>
      <protection locked="0"/>
    </xf>
    <xf numFmtId="180" fontId="34" fillId="0" borderId="11" xfId="64" applyNumberFormat="1" applyFont="1" applyFill="1" applyBorder="1" applyAlignment="1" applyProtection="1">
      <alignment horizontal="center"/>
      <protection/>
    </xf>
    <xf numFmtId="180" fontId="13" fillId="0" borderId="11" xfId="42" applyNumberFormat="1" applyFont="1" applyFill="1" applyBorder="1" applyAlignment="1" applyProtection="1">
      <alignment horizontal="center" shrinkToFit="1"/>
      <protection/>
    </xf>
    <xf numFmtId="180" fontId="3" fillId="0" borderId="11" xfId="42" applyNumberFormat="1" applyFont="1" applyFill="1" applyBorder="1" applyAlignment="1" applyProtection="1">
      <alignment horizontal="center" shrinkToFit="1"/>
      <protection/>
    </xf>
    <xf numFmtId="0" fontId="3" fillId="0" borderId="11" xfId="42" applyFont="1" applyFill="1" applyBorder="1" applyAlignment="1" applyProtection="1">
      <alignment horizontal="left" wrapText="1" indent="1"/>
      <protection/>
    </xf>
    <xf numFmtId="49" fontId="0" fillId="0" borderId="11" xfId="0" applyNumberFormat="1" applyFont="1" applyFill="1" applyBorder="1" applyAlignment="1" applyProtection="1">
      <alignment horizontal="center" shrinkToFit="1"/>
      <protection locked="0"/>
    </xf>
    <xf numFmtId="0" fontId="8" fillId="0" borderId="11" xfId="42" applyFont="1" applyFill="1" applyBorder="1" applyAlignment="1" applyProtection="1">
      <alignment horizontal="left" wrapText="1" indent="3"/>
      <protection/>
    </xf>
    <xf numFmtId="0" fontId="10" fillId="0" borderId="11" xfId="64" applyFont="1" applyFill="1" applyBorder="1" applyAlignment="1" applyProtection="1">
      <alignment horizontal="center"/>
      <protection/>
    </xf>
    <xf numFmtId="0" fontId="0" fillId="0" borderId="11" xfId="42" applyFont="1" applyFill="1" applyBorder="1" applyAlignment="1" applyProtection="1">
      <alignment horizontal="left" wrapText="1" indent="4"/>
      <protection/>
    </xf>
    <xf numFmtId="3" fontId="0" fillId="0" borderId="11" xfId="42" applyNumberFormat="1" applyFont="1" applyFill="1" applyBorder="1" applyAlignment="1" applyProtection="1">
      <alignment horizontal="right" vertical="center" shrinkToFit="1"/>
      <protection/>
    </xf>
    <xf numFmtId="0" fontId="36" fillId="0" borderId="0" xfId="0" applyFont="1" applyAlignment="1">
      <alignment horizontal="left" indent="3"/>
    </xf>
    <xf numFmtId="0" fontId="36" fillId="0" borderId="11" xfId="0" applyFont="1" applyBorder="1" applyAlignment="1">
      <alignment horizontal="left" indent="3"/>
    </xf>
    <xf numFmtId="49" fontId="37" fillId="0" borderId="11" xfId="42" applyNumberFormat="1" applyFont="1" applyFill="1" applyBorder="1" applyAlignment="1" applyProtection="1">
      <alignment horizontal="center" shrinkToFit="1"/>
      <protection/>
    </xf>
    <xf numFmtId="0" fontId="0" fillId="0" borderId="11" xfId="42" applyFont="1" applyFill="1" applyBorder="1" applyAlignment="1" applyProtection="1">
      <alignment horizontal="left" wrapText="1" indent="2"/>
      <protection/>
    </xf>
    <xf numFmtId="49" fontId="0" fillId="39" borderId="11" xfId="42" applyNumberFormat="1" applyFont="1" applyFill="1" applyBorder="1" applyAlignment="1" applyProtection="1">
      <alignment horizontal="center" shrinkToFit="1"/>
      <protection/>
    </xf>
    <xf numFmtId="0" fontId="12" fillId="0" borderId="0" xfId="64" applyFont="1" applyFill="1" applyBorder="1" applyAlignment="1" applyProtection="1">
      <alignment shrinkToFit="1"/>
      <protection/>
    </xf>
    <xf numFmtId="180" fontId="9" fillId="0" borderId="0" xfId="42" applyNumberFormat="1" applyFont="1" applyFill="1" applyBorder="1" applyAlignment="1" applyProtection="1">
      <alignment horizontal="center" shrinkToFit="1"/>
      <protection/>
    </xf>
    <xf numFmtId="180" fontId="9" fillId="0" borderId="0" xfId="42" applyNumberFormat="1" applyFont="1" applyFill="1" applyBorder="1" applyAlignment="1" applyProtection="1">
      <alignment horizontal="center" shrinkToFit="1"/>
      <protection/>
    </xf>
    <xf numFmtId="0" fontId="30" fillId="0" borderId="11" xfId="42" applyFont="1" applyFill="1" applyBorder="1" applyAlignment="1" applyProtection="1">
      <alignment horizontal="left" wrapText="1" indent="3"/>
      <protection/>
    </xf>
    <xf numFmtId="180" fontId="38" fillId="0" borderId="11" xfId="42" applyNumberFormat="1" applyFont="1" applyFill="1" applyBorder="1" applyAlignment="1" applyProtection="1">
      <alignment horizontal="center" shrinkToFit="1"/>
      <protection/>
    </xf>
    <xf numFmtId="49" fontId="13" fillId="0" borderId="11" xfId="42" applyNumberFormat="1" applyFont="1" applyFill="1" applyBorder="1" applyAlignment="1" applyProtection="1">
      <alignment horizontal="center" shrinkToFit="1"/>
      <protection/>
    </xf>
    <xf numFmtId="180" fontId="39" fillId="0" borderId="11" xfId="42" applyNumberFormat="1" applyFont="1" applyFill="1" applyBorder="1" applyAlignment="1" applyProtection="1">
      <alignment horizontal="center" shrinkToFit="1"/>
      <protection/>
    </xf>
    <xf numFmtId="0" fontId="34" fillId="0" borderId="11" xfId="64" applyFont="1" applyFill="1" applyBorder="1" applyProtection="1">
      <alignment/>
      <protection/>
    </xf>
    <xf numFmtId="49" fontId="38" fillId="0" borderId="11" xfId="42" applyNumberFormat="1" applyFont="1" applyFill="1" applyBorder="1" applyAlignment="1" applyProtection="1">
      <alignment horizontal="center" shrinkToFit="1"/>
      <protection/>
    </xf>
    <xf numFmtId="180" fontId="29" fillId="0" borderId="0" xfId="42" applyNumberFormat="1" applyFont="1" applyFill="1" applyBorder="1" applyAlignment="1" applyProtection="1">
      <alignment horizontal="center" shrinkToFit="1"/>
      <protection/>
    </xf>
    <xf numFmtId="180" fontId="8" fillId="0" borderId="0" xfId="42" applyNumberFormat="1" applyFont="1" applyFill="1" applyBorder="1" applyAlignment="1" applyProtection="1">
      <alignment horizontal="center" shrinkToFit="1"/>
      <protection/>
    </xf>
    <xf numFmtId="0" fontId="3" fillId="0" borderId="11" xfId="42" applyFont="1" applyFill="1" applyBorder="1" applyAlignment="1" applyProtection="1">
      <alignment horizontal="left" vertical="top" wrapText="1" indent="2"/>
      <protection/>
    </xf>
    <xf numFmtId="0" fontId="9" fillId="0" borderId="11" xfId="42" applyFont="1" applyFill="1" applyBorder="1" applyAlignment="1" applyProtection="1">
      <alignment horizontal="left" wrapText="1" indent="3"/>
      <protection/>
    </xf>
    <xf numFmtId="180" fontId="38" fillId="0" borderId="0" xfId="42" applyNumberFormat="1" applyFont="1" applyFill="1" applyBorder="1" applyAlignment="1" applyProtection="1">
      <alignment horizontal="center" shrinkToFit="1"/>
      <protection/>
    </xf>
    <xf numFmtId="0" fontId="40" fillId="0" borderId="0" xfId="64" applyFont="1" applyFill="1" applyBorder="1" applyProtection="1">
      <alignment/>
      <protection/>
    </xf>
    <xf numFmtId="0" fontId="0" fillId="0" borderId="11" xfId="0" applyFont="1" applyFill="1" applyBorder="1" applyAlignment="1">
      <alignment horizontal="left" wrapText="1" indent="3"/>
    </xf>
    <xf numFmtId="180" fontId="0" fillId="0" borderId="11" xfId="42" applyNumberFormat="1" applyFont="1" applyFill="1" applyBorder="1" applyAlignment="1" applyProtection="1">
      <alignment horizontal="center" shrinkToFit="1"/>
      <protection/>
    </xf>
    <xf numFmtId="0" fontId="3" fillId="0" borderId="11" xfId="42" applyFont="1" applyFill="1" applyBorder="1" applyAlignment="1" applyProtection="1">
      <alignment horizontal="left" wrapText="1" indent="3"/>
      <protection/>
    </xf>
    <xf numFmtId="180" fontId="22" fillId="0" borderId="0" xfId="64" applyNumberFormat="1" applyFont="1" applyFill="1" applyBorder="1" applyProtection="1">
      <alignment/>
      <protection/>
    </xf>
    <xf numFmtId="0" fontId="22" fillId="33" borderId="0" xfId="64" applyFont="1" applyFill="1" applyBorder="1" applyProtection="1">
      <alignment/>
      <protection/>
    </xf>
    <xf numFmtId="0" fontId="10" fillId="0" borderId="11" xfId="0" applyFont="1" applyBorder="1" applyAlignment="1">
      <alignment horizontal="left" wrapText="1" indent="3"/>
    </xf>
    <xf numFmtId="180" fontId="12" fillId="0" borderId="0" xfId="64" applyNumberFormat="1" applyFont="1" applyFill="1" applyBorder="1" applyProtection="1">
      <alignment/>
      <protection/>
    </xf>
    <xf numFmtId="0" fontId="0" fillId="40" borderId="11" xfId="42" applyFont="1" applyFill="1" applyBorder="1" applyAlignment="1" applyProtection="1">
      <alignment horizontal="left" wrapText="1" indent="4"/>
      <protection/>
    </xf>
    <xf numFmtId="49" fontId="3" fillId="40" borderId="11" xfId="42" applyNumberFormat="1" applyFont="1" applyFill="1" applyBorder="1" applyAlignment="1" applyProtection="1">
      <alignment horizontal="center" shrinkToFit="1"/>
      <protection/>
    </xf>
    <xf numFmtId="49" fontId="0" fillId="40" borderId="11" xfId="42" applyNumberFormat="1" applyFont="1" applyFill="1" applyBorder="1" applyAlignment="1" applyProtection="1">
      <alignment horizontal="center" shrinkToFit="1"/>
      <protection/>
    </xf>
    <xf numFmtId="49" fontId="0" fillId="0" borderId="11" xfId="42" applyNumberFormat="1" applyFont="1" applyFill="1" applyBorder="1" applyAlignment="1" applyProtection="1">
      <alignment horizontal="center" shrinkToFit="1"/>
      <protection/>
    </xf>
    <xf numFmtId="180" fontId="42" fillId="0" borderId="11" xfId="42" applyNumberFormat="1" applyFont="1" applyFill="1" applyBorder="1" applyAlignment="1" applyProtection="1">
      <alignment horizontal="center" shrinkToFit="1"/>
      <protection/>
    </xf>
    <xf numFmtId="0" fontId="0" fillId="40" borderId="11" xfId="42" applyFont="1" applyFill="1" applyBorder="1" applyAlignment="1" applyProtection="1">
      <alignment horizontal="left" wrapText="1" indent="3"/>
      <protection/>
    </xf>
    <xf numFmtId="0" fontId="8" fillId="40" borderId="11" xfId="42" applyFont="1" applyFill="1" applyBorder="1" applyAlignment="1" applyProtection="1">
      <alignment horizontal="left" wrapText="1" indent="4"/>
      <protection/>
    </xf>
    <xf numFmtId="0" fontId="8" fillId="0" borderId="11" xfId="42" applyFont="1" applyFill="1" applyBorder="1" applyAlignment="1" applyProtection="1">
      <alignment horizontal="left" wrapText="1" indent="2"/>
      <protection/>
    </xf>
    <xf numFmtId="0" fontId="8" fillId="40" borderId="11" xfId="42" applyFont="1" applyFill="1" applyBorder="1" applyAlignment="1" applyProtection="1">
      <alignment horizontal="left" wrapText="1" indent="2"/>
      <protection/>
    </xf>
    <xf numFmtId="49" fontId="8" fillId="0" borderId="11" xfId="42" applyNumberFormat="1" applyFont="1" applyFill="1" applyBorder="1" applyAlignment="1" applyProtection="1">
      <alignment horizontal="right" shrinkToFit="1"/>
      <protection/>
    </xf>
    <xf numFmtId="0" fontId="10" fillId="0" borderId="11" xfId="64" applyFont="1" applyFill="1" applyBorder="1" applyAlignment="1" applyProtection="1">
      <alignment horizontal="right"/>
      <protection/>
    </xf>
    <xf numFmtId="49" fontId="3" fillId="0" borderId="11" xfId="42" applyNumberFormat="1" applyFont="1" applyFill="1" applyBorder="1" applyAlignment="1" applyProtection="1">
      <alignment horizontal="right" shrinkToFit="1"/>
      <protection/>
    </xf>
    <xf numFmtId="49" fontId="13" fillId="0" borderId="11" xfId="0" applyNumberFormat="1" applyFont="1" applyFill="1" applyBorder="1" applyAlignment="1" applyProtection="1">
      <alignment horizontal="right" shrinkToFit="1"/>
      <protection locked="0"/>
    </xf>
    <xf numFmtId="0" fontId="12" fillId="0" borderId="11" xfId="64" applyFont="1" applyFill="1" applyBorder="1" applyAlignment="1" applyProtection="1">
      <alignment horizontal="right"/>
      <protection/>
    </xf>
    <xf numFmtId="49" fontId="13" fillId="0" borderId="11" xfId="0" applyNumberFormat="1" applyFont="1" applyFill="1" applyBorder="1" applyAlignment="1" applyProtection="1">
      <alignment horizontal="right" shrinkToFit="1"/>
      <protection locked="0"/>
    </xf>
    <xf numFmtId="49" fontId="9" fillId="0" borderId="11" xfId="42" applyNumberFormat="1" applyFont="1" applyFill="1" applyBorder="1" applyAlignment="1" applyProtection="1">
      <alignment horizontal="right" shrinkToFit="1"/>
      <protection/>
    </xf>
    <xf numFmtId="49" fontId="3" fillId="0" borderId="11" xfId="42" applyNumberFormat="1" applyFont="1" applyFill="1" applyBorder="1" applyAlignment="1" applyProtection="1">
      <alignment horizontal="right" shrinkToFit="1"/>
      <protection/>
    </xf>
    <xf numFmtId="49" fontId="8" fillId="0" borderId="12" xfId="42" applyNumberFormat="1" applyFont="1" applyFill="1" applyBorder="1" applyAlignment="1" applyProtection="1">
      <alignment horizontal="right" shrinkToFit="1"/>
      <protection/>
    </xf>
    <xf numFmtId="49" fontId="0" fillId="0" borderId="11" xfId="0" applyNumberFormat="1" applyFont="1" applyFill="1" applyBorder="1" applyAlignment="1" applyProtection="1">
      <alignment horizontal="right" shrinkToFit="1"/>
      <protection locked="0"/>
    </xf>
    <xf numFmtId="49" fontId="0" fillId="0" borderId="11" xfId="42" applyNumberFormat="1" applyFont="1" applyFill="1" applyBorder="1" applyAlignment="1" applyProtection="1">
      <alignment horizontal="right" shrinkToFit="1"/>
      <protection/>
    </xf>
    <xf numFmtId="49" fontId="0" fillId="0" borderId="11" xfId="42" applyNumberFormat="1" applyFont="1" applyFill="1" applyBorder="1" applyAlignment="1" applyProtection="1">
      <alignment horizontal="right" shrinkToFit="1"/>
      <protection/>
    </xf>
    <xf numFmtId="0" fontId="0" fillId="33" borderId="11" xfId="42" applyFont="1" applyFill="1" applyBorder="1" applyAlignment="1" applyProtection="1">
      <alignment horizontal="left" wrapText="1" indent="4"/>
      <protection/>
    </xf>
    <xf numFmtId="0" fontId="8" fillId="33" borderId="11" xfId="42" applyFont="1" applyFill="1" applyBorder="1" applyAlignment="1" applyProtection="1">
      <alignment horizontal="left" wrapText="1" indent="4"/>
      <protection/>
    </xf>
    <xf numFmtId="0" fontId="8" fillId="39" borderId="11" xfId="42" applyFont="1" applyFill="1" applyBorder="1" applyAlignment="1" applyProtection="1">
      <alignment horizontal="left" wrapText="1" indent="4"/>
      <protection/>
    </xf>
    <xf numFmtId="49" fontId="8" fillId="39" borderId="11" xfId="42" applyNumberFormat="1" applyFont="1" applyFill="1" applyBorder="1" applyAlignment="1" applyProtection="1">
      <alignment horizontal="center" shrinkToFit="1"/>
      <protection/>
    </xf>
    <xf numFmtId="49" fontId="0" fillId="39" borderId="11" xfId="42" applyNumberFormat="1" applyFont="1" applyFill="1" applyBorder="1" applyAlignment="1" applyProtection="1">
      <alignment horizontal="center" shrinkToFit="1"/>
      <protection/>
    </xf>
    <xf numFmtId="49" fontId="13" fillId="39" borderId="11" xfId="0" applyNumberFormat="1" applyFont="1" applyFill="1" applyBorder="1" applyAlignment="1" applyProtection="1">
      <alignment horizontal="center" shrinkToFit="1"/>
      <protection locked="0"/>
    </xf>
    <xf numFmtId="0" fontId="10" fillId="39" borderId="11" xfId="64" applyFont="1" applyFill="1" applyBorder="1" applyProtection="1">
      <alignment/>
      <protection/>
    </xf>
    <xf numFmtId="180" fontId="9" fillId="39" borderId="11" xfId="42" applyNumberFormat="1" applyFont="1" applyFill="1" applyBorder="1" applyAlignment="1" applyProtection="1">
      <alignment horizontal="center" shrinkToFit="1"/>
      <protection/>
    </xf>
    <xf numFmtId="0" fontId="10" fillId="39" borderId="0" xfId="64" applyFont="1" applyFill="1" applyBorder="1" applyProtection="1">
      <alignment/>
      <protection/>
    </xf>
    <xf numFmtId="49" fontId="13" fillId="39" borderId="11" xfId="0" applyNumberFormat="1" applyFont="1" applyFill="1" applyBorder="1" applyAlignment="1" applyProtection="1">
      <alignment horizontal="center" shrinkToFit="1"/>
      <protection locked="0"/>
    </xf>
    <xf numFmtId="49" fontId="0" fillId="39" borderId="11" xfId="0" applyNumberFormat="1" applyFill="1" applyBorder="1" applyAlignment="1" applyProtection="1">
      <alignment horizontal="center" shrinkToFit="1"/>
      <protection locked="0"/>
    </xf>
    <xf numFmtId="0" fontId="0" fillId="39" borderId="11" xfId="42" applyFont="1" applyFill="1" applyBorder="1" applyAlignment="1" applyProtection="1">
      <alignment horizontal="left" wrapText="1" indent="3"/>
      <protection/>
    </xf>
    <xf numFmtId="49" fontId="3" fillId="39" borderId="11" xfId="42" applyNumberFormat="1" applyFont="1" applyFill="1" applyBorder="1" applyAlignment="1" applyProtection="1">
      <alignment horizontal="center" shrinkToFit="1"/>
      <protection/>
    </xf>
    <xf numFmtId="180" fontId="26" fillId="39" borderId="11" xfId="42" applyNumberFormat="1" applyFont="1" applyFill="1" applyBorder="1" applyAlignment="1" applyProtection="1">
      <alignment horizontal="center" shrinkToFit="1"/>
      <protection/>
    </xf>
    <xf numFmtId="0" fontId="0" fillId="33" borderId="11" xfId="42" applyFont="1" applyFill="1" applyBorder="1" applyAlignment="1" applyProtection="1">
      <alignment horizontal="left" wrapText="1" indent="2"/>
      <protection/>
    </xf>
    <xf numFmtId="180" fontId="3" fillId="33" borderId="11" xfId="42" applyNumberFormat="1" applyFont="1" applyFill="1" applyBorder="1" applyAlignment="1" applyProtection="1">
      <alignment horizontal="center" shrinkToFit="1"/>
      <protection/>
    </xf>
    <xf numFmtId="180" fontId="9" fillId="33" borderId="11" xfId="42" applyNumberFormat="1" applyFont="1" applyFill="1" applyBorder="1" applyAlignment="1" applyProtection="1">
      <alignment horizontal="center" shrinkToFit="1"/>
      <protection/>
    </xf>
    <xf numFmtId="49" fontId="0" fillId="33" borderId="11" xfId="42" applyNumberFormat="1" applyFont="1" applyFill="1" applyBorder="1" applyAlignment="1" applyProtection="1">
      <alignment horizontal="center" shrinkToFit="1"/>
      <protection/>
    </xf>
    <xf numFmtId="49" fontId="0" fillId="33" borderId="11" xfId="42" applyNumberFormat="1" applyFont="1" applyFill="1" applyBorder="1" applyAlignment="1" applyProtection="1">
      <alignment horizontal="center" shrinkToFit="1"/>
      <protection/>
    </xf>
    <xf numFmtId="0" fontId="10" fillId="33" borderId="11" xfId="64" applyFont="1" applyFill="1" applyBorder="1" applyProtection="1">
      <alignment/>
      <protection/>
    </xf>
    <xf numFmtId="49" fontId="8" fillId="41" borderId="11" xfId="42" applyNumberFormat="1" applyFont="1" applyFill="1" applyBorder="1" applyAlignment="1" applyProtection="1">
      <alignment horizontal="center" shrinkToFit="1"/>
      <protection/>
    </xf>
    <xf numFmtId="49" fontId="3" fillId="41" borderId="11" xfId="42" applyNumberFormat="1" applyFont="1" applyFill="1" applyBorder="1" applyAlignment="1" applyProtection="1">
      <alignment horizontal="center" shrinkToFit="1"/>
      <protection/>
    </xf>
    <xf numFmtId="0" fontId="10" fillId="41" borderId="11" xfId="64" applyFont="1" applyFill="1" applyBorder="1" applyProtection="1">
      <alignment/>
      <protection/>
    </xf>
    <xf numFmtId="180" fontId="3" fillId="41" borderId="11" xfId="42" applyNumberFormat="1" applyFont="1" applyFill="1" applyBorder="1" applyAlignment="1" applyProtection="1">
      <alignment horizontal="center" shrinkToFit="1"/>
      <protection/>
    </xf>
    <xf numFmtId="180" fontId="9" fillId="41" borderId="11" xfId="42" applyNumberFormat="1" applyFont="1" applyFill="1" applyBorder="1" applyAlignment="1" applyProtection="1">
      <alignment horizontal="center" shrinkToFit="1"/>
      <protection/>
    </xf>
    <xf numFmtId="0" fontId="10" fillId="41" borderId="0" xfId="64" applyFont="1" applyFill="1" applyBorder="1" applyProtection="1">
      <alignment/>
      <protection/>
    </xf>
    <xf numFmtId="0" fontId="8" fillId="41" borderId="11" xfId="42" applyFont="1" applyFill="1" applyBorder="1" applyAlignment="1" applyProtection="1">
      <alignment horizontal="left" wrapText="1" indent="4"/>
      <protection/>
    </xf>
    <xf numFmtId="0" fontId="0" fillId="41" borderId="11" xfId="42" applyFont="1" applyFill="1" applyBorder="1" applyAlignment="1" applyProtection="1">
      <alignment horizontal="left" wrapText="1" indent="4"/>
      <protection/>
    </xf>
    <xf numFmtId="49" fontId="0" fillId="41" borderId="11" xfId="42" applyNumberFormat="1" applyFont="1" applyFill="1" applyBorder="1" applyAlignment="1" applyProtection="1">
      <alignment horizontal="center" shrinkToFit="1"/>
      <protection/>
    </xf>
    <xf numFmtId="0" fontId="9" fillId="41" borderId="11" xfId="42" applyFont="1" applyFill="1" applyBorder="1" applyAlignment="1" applyProtection="1">
      <alignment horizontal="left" wrapText="1" indent="1"/>
      <protection/>
    </xf>
    <xf numFmtId="180" fontId="42" fillId="41" borderId="11" xfId="42" applyNumberFormat="1" applyFont="1" applyFill="1" applyBorder="1" applyAlignment="1" applyProtection="1">
      <alignment horizontal="center" shrinkToFit="1"/>
      <protection/>
    </xf>
    <xf numFmtId="180" fontId="3" fillId="41" borderId="11" xfId="42" applyNumberFormat="1" applyFont="1" applyFill="1" applyBorder="1" applyAlignment="1" applyProtection="1">
      <alignment horizontal="center" shrinkToFit="1"/>
      <protection/>
    </xf>
    <xf numFmtId="0" fontId="0" fillId="33" borderId="11" xfId="42" applyFont="1" applyFill="1" applyBorder="1" applyAlignment="1" applyProtection="1">
      <alignment horizontal="left" wrapText="1" indent="3"/>
      <protection/>
    </xf>
    <xf numFmtId="49" fontId="3" fillId="33" borderId="11" xfId="42" applyNumberFormat="1" applyFont="1" applyFill="1" applyBorder="1" applyAlignment="1" applyProtection="1">
      <alignment horizontal="center" shrinkToFit="1"/>
      <protection/>
    </xf>
    <xf numFmtId="49" fontId="0" fillId="33" borderId="11" xfId="42" applyNumberFormat="1" applyFont="1" applyFill="1" applyBorder="1" applyAlignment="1" applyProtection="1">
      <alignment horizontal="center" shrinkToFit="1"/>
      <protection/>
    </xf>
    <xf numFmtId="49" fontId="0" fillId="33" borderId="11" xfId="0" applyNumberFormat="1" applyFill="1" applyBorder="1" applyAlignment="1" applyProtection="1">
      <alignment horizontal="center" shrinkToFit="1"/>
      <protection locked="0"/>
    </xf>
    <xf numFmtId="180" fontId="10" fillId="0" borderId="0" xfId="64" applyNumberFormat="1" applyFont="1" applyFill="1" applyBorder="1" applyAlignment="1" applyProtection="1">
      <alignment horizontal="left"/>
      <protection/>
    </xf>
    <xf numFmtId="0" fontId="0" fillId="39" borderId="11" xfId="42" applyFont="1" applyFill="1" applyBorder="1" applyAlignment="1" applyProtection="1">
      <alignment horizontal="left" wrapText="1" indent="3"/>
      <protection/>
    </xf>
    <xf numFmtId="180" fontId="10" fillId="0" borderId="11" xfId="64" applyNumberFormat="1" applyFont="1" applyFill="1" applyBorder="1" applyAlignment="1" applyProtection="1">
      <alignment horizontal="right"/>
      <protection/>
    </xf>
    <xf numFmtId="182" fontId="3" fillId="0" borderId="11" xfId="42" applyNumberFormat="1" applyFont="1" applyFill="1" applyBorder="1" applyAlignment="1" applyProtection="1">
      <alignment horizontal="center" shrinkToFit="1"/>
      <protection/>
    </xf>
    <xf numFmtId="182" fontId="9" fillId="0" borderId="11" xfId="42" applyNumberFormat="1" applyFont="1" applyFill="1" applyBorder="1" applyAlignment="1" applyProtection="1">
      <alignment horizontal="center" shrinkToFit="1"/>
      <protection/>
    </xf>
    <xf numFmtId="182" fontId="22" fillId="0" borderId="11" xfId="64" applyNumberFormat="1" applyFont="1" applyFill="1" applyBorder="1" applyAlignment="1" applyProtection="1">
      <alignment horizontal="center" shrinkToFit="1"/>
      <protection/>
    </xf>
    <xf numFmtId="182" fontId="10" fillId="0" borderId="0" xfId="64" applyNumberFormat="1" applyFont="1" applyFill="1" applyBorder="1" applyProtection="1">
      <alignment/>
      <protection/>
    </xf>
    <xf numFmtId="182" fontId="34" fillId="0" borderId="11" xfId="64" applyNumberFormat="1" applyFont="1" applyFill="1" applyBorder="1" applyAlignment="1" applyProtection="1">
      <alignment horizontal="right" vertical="distributed" shrinkToFit="1"/>
      <protection/>
    </xf>
    <xf numFmtId="182" fontId="10" fillId="0" borderId="11" xfId="64" applyNumberFormat="1" applyFont="1" applyFill="1" applyBorder="1" applyAlignment="1" applyProtection="1">
      <alignment horizontal="right"/>
      <protection/>
    </xf>
    <xf numFmtId="182" fontId="9" fillId="0" borderId="11" xfId="42" applyNumberFormat="1" applyFont="1" applyFill="1" applyBorder="1" applyAlignment="1" applyProtection="1">
      <alignment horizontal="center" shrinkToFit="1"/>
      <protection/>
    </xf>
    <xf numFmtId="182" fontId="8" fillId="0" borderId="11" xfId="42" applyNumberFormat="1" applyFont="1" applyFill="1" applyBorder="1" applyAlignment="1" applyProtection="1">
      <alignment horizontal="center" shrinkToFit="1"/>
      <protection/>
    </xf>
    <xf numFmtId="182" fontId="13" fillId="0" borderId="11" xfId="42" applyNumberFormat="1" applyFont="1" applyFill="1" applyBorder="1" applyAlignment="1" applyProtection="1">
      <alignment horizontal="center" shrinkToFit="1"/>
      <protection/>
    </xf>
    <xf numFmtId="182" fontId="29" fillId="0" borderId="11" xfId="42" applyNumberFormat="1" applyFont="1" applyFill="1" applyBorder="1" applyAlignment="1" applyProtection="1">
      <alignment horizontal="center" shrinkToFit="1"/>
      <protection/>
    </xf>
    <xf numFmtId="182" fontId="12" fillId="0" borderId="11" xfId="64" applyNumberFormat="1" applyFont="1" applyFill="1" applyBorder="1" applyAlignment="1" applyProtection="1">
      <alignment horizontal="center"/>
      <protection/>
    </xf>
    <xf numFmtId="182" fontId="3" fillId="33" borderId="11" xfId="42" applyNumberFormat="1" applyFont="1" applyFill="1" applyBorder="1" applyAlignment="1" applyProtection="1">
      <alignment horizontal="center" shrinkToFit="1"/>
      <protection/>
    </xf>
    <xf numFmtId="182" fontId="9" fillId="33" borderId="11" xfId="42" applyNumberFormat="1" applyFont="1" applyFill="1" applyBorder="1" applyAlignment="1" applyProtection="1">
      <alignment horizontal="center" shrinkToFit="1"/>
      <protection/>
    </xf>
    <xf numFmtId="182" fontId="9" fillId="39" borderId="11" xfId="42" applyNumberFormat="1" applyFont="1" applyFill="1" applyBorder="1" applyAlignment="1" applyProtection="1">
      <alignment horizontal="center" shrinkToFit="1"/>
      <protection/>
    </xf>
    <xf numFmtId="182" fontId="3" fillId="41" borderId="11" xfId="42" applyNumberFormat="1" applyFont="1" applyFill="1" applyBorder="1" applyAlignment="1" applyProtection="1">
      <alignment horizontal="center" shrinkToFit="1"/>
      <protection/>
    </xf>
    <xf numFmtId="182" fontId="10" fillId="0" borderId="11" xfId="64" applyNumberFormat="1" applyFont="1" applyFill="1" applyBorder="1" applyAlignment="1" applyProtection="1">
      <alignment horizontal="center"/>
      <protection/>
    </xf>
    <xf numFmtId="182" fontId="26" fillId="0" borderId="11" xfId="42" applyNumberFormat="1" applyFont="1" applyFill="1" applyBorder="1" applyAlignment="1" applyProtection="1">
      <alignment horizontal="center" shrinkToFit="1"/>
      <protection/>
    </xf>
    <xf numFmtId="182" fontId="34" fillId="0" borderId="11" xfId="64" applyNumberFormat="1" applyFont="1" applyFill="1" applyBorder="1" applyAlignment="1" applyProtection="1">
      <alignment horizontal="center"/>
      <protection/>
    </xf>
    <xf numFmtId="182" fontId="3" fillId="40" borderId="11" xfId="42" applyNumberFormat="1" applyFont="1" applyFill="1" applyBorder="1" applyAlignment="1" applyProtection="1">
      <alignment horizontal="center" shrinkToFit="1"/>
      <protection/>
    </xf>
    <xf numFmtId="182" fontId="0" fillId="0" borderId="11" xfId="42" applyNumberFormat="1" applyFont="1" applyFill="1" applyBorder="1" applyAlignment="1" applyProtection="1">
      <alignment horizontal="center" shrinkToFit="1"/>
      <protection/>
    </xf>
    <xf numFmtId="182" fontId="19" fillId="0" borderId="11" xfId="42" applyNumberFormat="1" applyFont="1" applyFill="1" applyBorder="1" applyAlignment="1" applyProtection="1">
      <alignment horizontal="center" shrinkToFit="1"/>
      <protection/>
    </xf>
    <xf numFmtId="182" fontId="27" fillId="0" borderId="11" xfId="42" applyNumberFormat="1" applyFont="1" applyFill="1" applyBorder="1" applyAlignment="1" applyProtection="1">
      <alignment horizontal="center" shrinkToFit="1"/>
      <protection/>
    </xf>
    <xf numFmtId="182" fontId="20" fillId="0" borderId="11" xfId="42" applyNumberFormat="1" applyFont="1" applyFill="1" applyBorder="1" applyAlignment="1" applyProtection="1">
      <alignment horizontal="right" vertical="center" wrapText="1" shrinkToFit="1"/>
      <protection/>
    </xf>
    <xf numFmtId="182" fontId="20" fillId="0" borderId="11" xfId="64" applyNumberFormat="1" applyFont="1" applyFill="1" applyBorder="1" applyAlignment="1" applyProtection="1">
      <alignment horizontal="right" wrapText="1"/>
      <protection/>
    </xf>
    <xf numFmtId="182" fontId="30" fillId="0" borderId="11" xfId="42" applyNumberFormat="1" applyFont="1" applyFill="1" applyBorder="1" applyAlignment="1" applyProtection="1">
      <alignment horizontal="right" vertical="center" shrinkToFit="1"/>
      <protection/>
    </xf>
    <xf numFmtId="165" fontId="16" fillId="0" borderId="12" xfId="0" applyNumberFormat="1" applyFont="1" applyFill="1" applyBorder="1" applyAlignment="1" applyProtection="1">
      <alignment horizontal="center" vertical="center" wrapText="1"/>
      <protection/>
    </xf>
    <xf numFmtId="165" fontId="16" fillId="0" borderId="13" xfId="0" applyNumberFormat="1" applyFont="1" applyFill="1" applyBorder="1" applyAlignment="1" applyProtection="1">
      <alignment horizontal="center" vertical="center" wrapText="1"/>
      <protection/>
    </xf>
    <xf numFmtId="165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Fill="1" applyBorder="1" applyAlignment="1" applyProtection="1">
      <alignment horizontal="center" vertical="center" wrapText="1"/>
      <protection/>
    </xf>
    <xf numFmtId="165" fontId="35" fillId="0" borderId="12" xfId="0" applyNumberFormat="1" applyFont="1" applyFill="1" applyBorder="1" applyAlignment="1" applyProtection="1">
      <alignment horizontal="center" vertical="center" wrapText="1"/>
      <protection/>
    </xf>
    <xf numFmtId="165" fontId="35" fillId="0" borderId="13" xfId="0" applyNumberFormat="1" applyFont="1" applyFill="1" applyBorder="1" applyAlignment="1" applyProtection="1">
      <alignment horizontal="center" vertical="center" wrapText="1"/>
      <protection/>
    </xf>
    <xf numFmtId="165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42" applyFont="1" applyFill="1" applyBorder="1" applyAlignment="1" applyProtection="1">
      <alignment horizontal="center" vertical="center" wrapText="1"/>
      <protection hidden="1"/>
    </xf>
    <xf numFmtId="0" fontId="30" fillId="0" borderId="13" xfId="42" applyFont="1" applyFill="1" applyBorder="1" applyAlignment="1" applyProtection="1">
      <alignment horizontal="center" vertical="center" wrapText="1"/>
      <protection hidden="1"/>
    </xf>
    <xf numFmtId="0" fontId="30" fillId="0" borderId="14" xfId="42" applyFont="1" applyFill="1" applyBorder="1" applyAlignment="1" applyProtection="1">
      <alignment horizontal="center" vertical="center" wrapText="1"/>
      <protection hidden="1"/>
    </xf>
    <xf numFmtId="0" fontId="14" fillId="0" borderId="12" xfId="64" applyFont="1" applyFill="1" applyBorder="1" applyAlignment="1">
      <alignment horizontal="center" vertical="center" wrapText="1"/>
      <protection/>
    </xf>
    <xf numFmtId="0" fontId="14" fillId="0" borderId="13" xfId="64" applyFont="1" applyFill="1" applyBorder="1" applyAlignment="1">
      <alignment horizontal="center" vertical="center" wrapText="1"/>
      <protection/>
    </xf>
    <xf numFmtId="0" fontId="14" fillId="0" borderId="14" xfId="64" applyFont="1" applyFill="1" applyBorder="1" applyAlignment="1">
      <alignment horizontal="center" vertical="center" wrapText="1"/>
      <protection/>
    </xf>
    <xf numFmtId="165" fontId="32" fillId="0" borderId="12" xfId="0" applyNumberFormat="1" applyFont="1" applyFill="1" applyBorder="1" applyAlignment="1" applyProtection="1">
      <alignment horizontal="center" vertical="center" wrapText="1"/>
      <protection/>
    </xf>
    <xf numFmtId="165" fontId="32" fillId="0" borderId="13" xfId="0" applyNumberFormat="1" applyFont="1" applyFill="1" applyBorder="1" applyAlignment="1" applyProtection="1">
      <alignment horizontal="center" vertical="center" wrapText="1"/>
      <protection/>
    </xf>
    <xf numFmtId="165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 vertical="top"/>
      <protection/>
    </xf>
    <xf numFmtId="0" fontId="24" fillId="0" borderId="0" xfId="64" applyFont="1" applyFill="1" applyBorder="1" applyAlignment="1" applyProtection="1">
      <alignment horizontal="center" wrapText="1"/>
      <protection/>
    </xf>
    <xf numFmtId="1" fontId="14" fillId="0" borderId="0" xfId="64" applyNumberFormat="1" applyFont="1" applyFill="1" applyBorder="1" applyAlignment="1" applyProtection="1">
      <alignment horizontal="right"/>
      <protection/>
    </xf>
    <xf numFmtId="0" fontId="33" fillId="0" borderId="0" xfId="65" applyFont="1" applyFill="1" applyBorder="1" applyAlignment="1" applyProtection="1">
      <alignment horizontal="left" vertical="top" wrapText="1" shrinkToFit="1"/>
      <protection/>
    </xf>
    <xf numFmtId="0" fontId="31" fillId="0" borderId="0" xfId="0" applyFont="1" applyFill="1" applyAlignment="1">
      <alignment horizontal="center" wrapText="1"/>
    </xf>
    <xf numFmtId="0" fontId="15" fillId="0" borderId="0" xfId="65" applyFont="1" applyFill="1" applyAlignment="1">
      <alignment horizontal="center" wrapText="1"/>
      <protection/>
    </xf>
    <xf numFmtId="0" fontId="24" fillId="0" borderId="0" xfId="65" applyFont="1" applyFill="1" applyBorder="1" applyAlignment="1" applyProtection="1">
      <alignment horizontal="left" wrapText="1"/>
      <protection/>
    </xf>
    <xf numFmtId="0" fontId="9" fillId="0" borderId="12" xfId="42" applyFont="1" applyFill="1" applyBorder="1" applyAlignment="1" applyProtection="1">
      <alignment horizontal="center" vertical="center" wrapText="1"/>
      <protection hidden="1"/>
    </xf>
    <xf numFmtId="0" fontId="9" fillId="0" borderId="13" xfId="42" applyFont="1" applyFill="1" applyBorder="1" applyAlignment="1" applyProtection="1">
      <alignment horizontal="center" vertical="center" wrapText="1"/>
      <protection hidden="1"/>
    </xf>
    <xf numFmtId="0" fontId="9" fillId="0" borderId="14" xfId="42" applyFont="1" applyFill="1" applyBorder="1" applyAlignment="1" applyProtection="1">
      <alignment horizontal="center" vertical="center" wrapText="1"/>
      <protection hidden="1"/>
    </xf>
    <xf numFmtId="165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65" applyFont="1" applyFill="1" applyBorder="1" applyAlignment="1" applyProtection="1">
      <alignment horizontal="center" vertical="top" wrapText="1" shrinkToFit="1"/>
      <protection/>
    </xf>
    <xf numFmtId="49" fontId="10" fillId="0" borderId="11" xfId="64" applyNumberFormat="1" applyFont="1" applyFill="1" applyBorder="1" applyAlignment="1" applyProtection="1">
      <alignment horizontal="center"/>
      <protection/>
    </xf>
    <xf numFmtId="165" fontId="9" fillId="0" borderId="11" xfId="42" applyNumberFormat="1" applyFont="1" applyFill="1" applyBorder="1" applyAlignment="1" applyProtection="1">
      <alignment horizontal="center" shrinkToFit="1"/>
      <protection/>
    </xf>
    <xf numFmtId="165" fontId="13" fillId="0" borderId="11" xfId="42" applyNumberFormat="1" applyFont="1" applyFill="1" applyBorder="1" applyAlignment="1" applyProtection="1">
      <alignment horizontal="center" shrinkToFit="1"/>
      <protection/>
    </xf>
    <xf numFmtId="165" fontId="20" fillId="0" borderId="11" xfId="42" applyNumberFormat="1" applyFont="1" applyFill="1" applyBorder="1" applyAlignment="1" applyProtection="1">
      <alignment horizontal="right" vertical="center" wrapText="1" shrinkToFit="1"/>
      <protection/>
    </xf>
    <xf numFmtId="165" fontId="10" fillId="0" borderId="11" xfId="64" applyNumberFormat="1" applyFont="1" applyFill="1" applyBorder="1" applyAlignment="1" applyProtection="1">
      <alignment horizontal="right"/>
      <protection/>
    </xf>
  </cellXfs>
  <cellStyles count="66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 (5)"/>
      <sheetName val="15 (4)"/>
      <sheetName val="15 (3)"/>
      <sheetName val="15 (2)"/>
    </sheetNames>
    <sheetDataSet>
      <sheetData sheetId="2">
        <row r="17">
          <cell r="H17">
            <v>1072</v>
          </cell>
          <cell r="J17">
            <v>1072</v>
          </cell>
        </row>
        <row r="22">
          <cell r="H22">
            <v>1190</v>
          </cell>
        </row>
        <row r="32">
          <cell r="H32">
            <v>14355.24</v>
          </cell>
        </row>
        <row r="44">
          <cell r="H44">
            <v>2031</v>
          </cell>
        </row>
        <row r="49">
          <cell r="H49">
            <v>519.4</v>
          </cell>
        </row>
        <row r="54">
          <cell r="H54">
            <v>2108.8</v>
          </cell>
        </row>
        <row r="82">
          <cell r="H82">
            <v>25</v>
          </cell>
        </row>
        <row r="96">
          <cell r="H96">
            <v>1920</v>
          </cell>
        </row>
        <row r="101">
          <cell r="H101">
            <v>460.76</v>
          </cell>
        </row>
        <row r="113">
          <cell r="H113">
            <v>12782.533</v>
          </cell>
        </row>
        <row r="123">
          <cell r="H123">
            <v>2676.7560000000003</v>
          </cell>
        </row>
        <row r="139">
          <cell r="H139">
            <v>1600</v>
          </cell>
        </row>
        <row r="149">
          <cell r="H149">
            <v>500</v>
          </cell>
        </row>
        <row r="155">
          <cell r="H155">
            <v>5956.3</v>
          </cell>
        </row>
        <row r="163">
          <cell r="H163">
            <v>109570.1</v>
          </cell>
        </row>
        <row r="207">
          <cell r="H207">
            <v>703</v>
          </cell>
        </row>
        <row r="219">
          <cell r="H219">
            <v>4389.4</v>
          </cell>
        </row>
        <row r="232">
          <cell r="H232">
            <v>3062.5</v>
          </cell>
        </row>
        <row r="257">
          <cell r="H257">
            <v>1067.4</v>
          </cell>
        </row>
        <row r="271">
          <cell r="H271">
            <v>3507.7</v>
          </cell>
        </row>
        <row r="276">
          <cell r="H276">
            <v>9866.8</v>
          </cell>
        </row>
        <row r="298">
          <cell r="H298">
            <v>20</v>
          </cell>
        </row>
        <row r="303">
          <cell r="H303">
            <v>2842.4</v>
          </cell>
        </row>
        <row r="312">
          <cell r="H312">
            <v>200</v>
          </cell>
          <cell r="I312">
            <v>200</v>
          </cell>
        </row>
        <row r="317">
          <cell r="H317">
            <v>144.5</v>
          </cell>
        </row>
        <row r="350">
          <cell r="H350">
            <v>565</v>
          </cell>
        </row>
        <row r="355">
          <cell r="H355">
            <v>0</v>
          </cell>
        </row>
        <row r="362">
          <cell r="H362">
            <v>6137.597</v>
          </cell>
        </row>
        <row r="405">
          <cell r="H405">
            <v>5013.5</v>
          </cell>
        </row>
        <row r="435">
          <cell r="H435">
            <v>731</v>
          </cell>
        </row>
        <row r="451">
          <cell r="H451">
            <v>9704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86"/>
  <sheetViews>
    <sheetView showZeros="0" zoomScale="85" zoomScaleNormal="85" zoomScaleSheetLayoutView="85" zoomScalePageLayoutView="0" workbookViewId="0" topLeftCell="A88">
      <selection activeCell="M183" sqref="M183"/>
    </sheetView>
  </sheetViews>
  <sheetFormatPr defaultColWidth="9.00390625" defaultRowHeight="12.75" outlineLevelRow="1"/>
  <cols>
    <col min="1" max="1" width="71.75390625" style="20" customWidth="1"/>
    <col min="2" max="2" width="9.75390625" style="22" customWidth="1"/>
    <col min="3" max="3" width="11.75390625" style="22" customWidth="1"/>
    <col min="4" max="6" width="16.125" style="20" hidden="1" customWidth="1"/>
    <col min="7" max="7" width="0" style="20" hidden="1" customWidth="1"/>
    <col min="8" max="8" width="18.75390625" style="20" hidden="1" customWidth="1"/>
    <col min="9" max="9" width="11.25390625" style="20" hidden="1" customWidth="1"/>
    <col min="10" max="10" width="18.75390625" style="94" hidden="1" customWidth="1"/>
    <col min="11" max="11" width="14.00390625" style="94" hidden="1" customWidth="1"/>
    <col min="12" max="12" width="18.375" style="20" customWidth="1"/>
    <col min="13" max="13" width="17.125" style="20" customWidth="1"/>
    <col min="14" max="14" width="15.375" style="20" customWidth="1"/>
    <col min="15" max="16384" width="9.125" style="20" customWidth="1"/>
  </cols>
  <sheetData>
    <row r="1" spans="1:3" ht="20.25" customHeight="1" hidden="1">
      <c r="A1" s="18"/>
      <c r="B1" s="19"/>
      <c r="C1" s="19"/>
    </row>
    <row r="2" spans="1:3" ht="19.5" customHeight="1" hidden="1">
      <c r="A2" s="18"/>
      <c r="B2" s="19"/>
      <c r="C2" s="19"/>
    </row>
    <row r="3" spans="1:3" ht="27" customHeight="1" hidden="1">
      <c r="A3" s="18"/>
      <c r="B3" s="19"/>
      <c r="C3" s="19"/>
    </row>
    <row r="4" spans="1:3" ht="26.25" customHeight="1" hidden="1">
      <c r="A4" s="18"/>
      <c r="B4" s="19"/>
      <c r="C4" s="19"/>
    </row>
    <row r="5" spans="1:21" ht="18.75" customHeight="1">
      <c r="A5" s="108"/>
      <c r="B5" s="250" t="s">
        <v>455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Q5" s="248"/>
      <c r="R5" s="248"/>
      <c r="S5" s="248"/>
      <c r="T5" s="248"/>
      <c r="U5" s="248"/>
    </row>
    <row r="6" spans="1:21" ht="8.25" customHeight="1" hidden="1">
      <c r="A6" s="18"/>
      <c r="B6" s="251" t="s">
        <v>419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Q6" s="249"/>
      <c r="R6" s="249"/>
      <c r="S6" s="249"/>
      <c r="T6" s="249"/>
      <c r="U6" s="249"/>
    </row>
    <row r="7" spans="1:21" ht="66" customHeight="1" hidden="1">
      <c r="A7" s="18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Q7" s="249"/>
      <c r="R7" s="249"/>
      <c r="S7" s="249"/>
      <c r="T7" s="249"/>
      <c r="U7" s="249"/>
    </row>
    <row r="8" spans="1:3" ht="9" customHeight="1">
      <c r="A8" s="18"/>
      <c r="B8" s="19"/>
      <c r="C8" s="19"/>
    </row>
    <row r="9" spans="1:14" ht="45" customHeight="1">
      <c r="A9" s="252" t="s">
        <v>392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</row>
    <row r="10" spans="1:3" ht="18" customHeight="1" hidden="1" outlineLevel="1">
      <c r="A10" s="235"/>
      <c r="B10" s="235"/>
      <c r="C10" s="235"/>
    </row>
    <row r="11" spans="1:3" ht="13.5" customHeight="1" collapsed="1">
      <c r="A11" s="17"/>
      <c r="B11" s="17"/>
      <c r="C11" s="17"/>
    </row>
    <row r="12" spans="1:12" ht="13.5" customHeight="1">
      <c r="A12" s="17"/>
      <c r="B12" s="17"/>
      <c r="C12" s="17"/>
      <c r="K12" s="94" t="s">
        <v>286</v>
      </c>
      <c r="L12" s="20" t="s">
        <v>286</v>
      </c>
    </row>
    <row r="13" spans="1:14" s="21" customFormat="1" ht="13.5" customHeight="1">
      <c r="A13" s="239" t="s">
        <v>32</v>
      </c>
      <c r="B13" s="242" t="s">
        <v>33</v>
      </c>
      <c r="C13" s="242" t="s">
        <v>34</v>
      </c>
      <c r="D13" s="232" t="s">
        <v>192</v>
      </c>
      <c r="E13" s="232">
        <v>2010</v>
      </c>
      <c r="F13" s="232"/>
      <c r="H13" s="232" t="s">
        <v>193</v>
      </c>
      <c r="I13" s="232" t="s">
        <v>194</v>
      </c>
      <c r="J13" s="245" t="s">
        <v>193</v>
      </c>
      <c r="K13" s="245" t="s">
        <v>192</v>
      </c>
      <c r="L13" s="245" t="s">
        <v>192</v>
      </c>
      <c r="M13" s="245" t="s">
        <v>449</v>
      </c>
      <c r="N13" s="236" t="s">
        <v>450</v>
      </c>
    </row>
    <row r="14" spans="1:14" s="21" customFormat="1" ht="12.75" customHeight="1">
      <c r="A14" s="240"/>
      <c r="B14" s="243"/>
      <c r="C14" s="243"/>
      <c r="D14" s="233"/>
      <c r="E14" s="233"/>
      <c r="F14" s="233"/>
      <c r="H14" s="233"/>
      <c r="I14" s="233"/>
      <c r="J14" s="246"/>
      <c r="K14" s="246"/>
      <c r="L14" s="246"/>
      <c r="M14" s="246"/>
      <c r="N14" s="237"/>
    </row>
    <row r="15" spans="1:14" s="21" customFormat="1" ht="9" customHeight="1">
      <c r="A15" s="240"/>
      <c r="B15" s="243"/>
      <c r="C15" s="243"/>
      <c r="D15" s="233"/>
      <c r="E15" s="233"/>
      <c r="F15" s="233"/>
      <c r="H15" s="233"/>
      <c r="I15" s="233"/>
      <c r="J15" s="246"/>
      <c r="K15" s="246"/>
      <c r="L15" s="246"/>
      <c r="M15" s="246"/>
      <c r="N15" s="237"/>
    </row>
    <row r="16" spans="1:14" s="21" customFormat="1" ht="6" customHeight="1" hidden="1">
      <c r="A16" s="241"/>
      <c r="B16" s="244"/>
      <c r="C16" s="244"/>
      <c r="D16" s="234"/>
      <c r="E16" s="81"/>
      <c r="F16" s="234"/>
      <c r="H16" s="234"/>
      <c r="I16" s="234"/>
      <c r="J16" s="247"/>
      <c r="K16" s="247"/>
      <c r="L16" s="247"/>
      <c r="M16" s="247"/>
      <c r="N16" s="238"/>
    </row>
    <row r="17" spans="1:14" s="87" customFormat="1" ht="15.75">
      <c r="A17" s="88" t="s">
        <v>70</v>
      </c>
      <c r="B17" s="89" t="s">
        <v>140</v>
      </c>
      <c r="C17" s="89"/>
      <c r="D17" s="90">
        <f>D18+D22+D26+D34+D39+D43</f>
        <v>21276.44</v>
      </c>
      <c r="E17" s="90">
        <f>E18+E22+E26+E34+E39+E43</f>
        <v>21590.243</v>
      </c>
      <c r="F17" s="90"/>
      <c r="H17" s="90" t="e">
        <f>H18+H22+H26+H34+H39+H43+H38</f>
        <v>#REF!</v>
      </c>
      <c r="I17" s="90" t="e">
        <f>I18+I22+I26+I34+I39+I43</f>
        <v>#REF!</v>
      </c>
      <c r="J17" s="95" t="e">
        <f>J18+J22+J26+J34+J39+J43+J38</f>
        <v>#REF!</v>
      </c>
      <c r="K17" s="95" t="e">
        <f>K18+K22+K26+K34+K39+K43+K38</f>
        <v>#REF!</v>
      </c>
      <c r="L17" s="229">
        <f>L18+L22+L26+L34+L39+L43+L38</f>
        <v>29957.129</v>
      </c>
      <c r="M17" s="229">
        <f>M18+M22+M26+M34+M39+M43+M38</f>
        <v>29514.488729999997</v>
      </c>
      <c r="N17" s="263">
        <f>M17/L17*100</f>
        <v>98.52242092358048</v>
      </c>
    </row>
    <row r="18" spans="1:14" ht="30">
      <c r="A18" s="3" t="s">
        <v>99</v>
      </c>
      <c r="B18" s="10" t="s">
        <v>140</v>
      </c>
      <c r="C18" s="10" t="s">
        <v>170</v>
      </c>
      <c r="D18" s="54">
        <f>'[2]15 (3)'!H17</f>
        <v>1072</v>
      </c>
      <c r="E18" s="54">
        <v>1072</v>
      </c>
      <c r="F18" s="54" t="e">
        <f>'[2]15 (3)'!#REF!</f>
        <v>#REF!</v>
      </c>
      <c r="G18" s="54">
        <f>'[2]15 (3)'!J17</f>
        <v>1072</v>
      </c>
      <c r="H18" s="54">
        <f>'15 (3)'!I17</f>
        <v>977</v>
      </c>
      <c r="I18" s="63">
        <f>H18</f>
        <v>977</v>
      </c>
      <c r="J18" s="96">
        <f>'15 (3)'!K17</f>
        <v>977</v>
      </c>
      <c r="K18" s="96">
        <f>'15 (3)'!L17</f>
        <v>1269.9</v>
      </c>
      <c r="L18" s="212">
        <f>'15 (3)'!M17</f>
        <v>1351.241</v>
      </c>
      <c r="M18" s="212">
        <f>'15 (3)'!N17</f>
        <v>1349.83563</v>
      </c>
      <c r="N18" s="264">
        <f>M18/L18*100</f>
        <v>99.89599412688041</v>
      </c>
    </row>
    <row r="19" spans="1:14" ht="51.75" customHeight="1" hidden="1">
      <c r="A19" s="5" t="s">
        <v>1</v>
      </c>
      <c r="B19" s="10" t="s">
        <v>71</v>
      </c>
      <c r="C19" s="10" t="s">
        <v>66</v>
      </c>
      <c r="D19" s="54" t="e">
        <f>#REF!+#REF!</f>
        <v>#REF!</v>
      </c>
      <c r="E19" s="54"/>
      <c r="F19" s="54"/>
      <c r="H19" s="54" t="e">
        <f>#REF!+#REF!</f>
        <v>#REF!</v>
      </c>
      <c r="J19" s="96" t="e">
        <f>#REF!+#REF!</f>
        <v>#REF!</v>
      </c>
      <c r="K19" s="96" t="e">
        <f>#REF!+#REF!</f>
        <v>#REF!</v>
      </c>
      <c r="L19" s="212" t="e">
        <f>#REF!+#REF!</f>
        <v>#REF!</v>
      </c>
      <c r="M19" s="212" t="e">
        <f>#REF!+#REF!</f>
        <v>#REF!</v>
      </c>
      <c r="N19" s="264" t="e">
        <f aca="true" t="shared" si="0" ref="N19:N34">M19/L19*100</f>
        <v>#REF!</v>
      </c>
    </row>
    <row r="20" spans="1:14" ht="15" customHeight="1" hidden="1">
      <c r="A20" s="3" t="s">
        <v>100</v>
      </c>
      <c r="B20" s="10" t="s">
        <v>71</v>
      </c>
      <c r="C20" s="10" t="s">
        <v>66</v>
      </c>
      <c r="D20" s="54" t="e">
        <f>#REF!+#REF!</f>
        <v>#REF!</v>
      </c>
      <c r="E20" s="54"/>
      <c r="F20" s="54"/>
      <c r="H20" s="54" t="e">
        <f>#REF!+#REF!</f>
        <v>#REF!</v>
      </c>
      <c r="J20" s="96" t="e">
        <f>#REF!+#REF!</f>
        <v>#REF!</v>
      </c>
      <c r="K20" s="96" t="e">
        <f>#REF!+#REF!</f>
        <v>#REF!</v>
      </c>
      <c r="L20" s="212" t="e">
        <f>#REF!+#REF!</f>
        <v>#REF!</v>
      </c>
      <c r="M20" s="212" t="e">
        <f>#REF!+#REF!</f>
        <v>#REF!</v>
      </c>
      <c r="N20" s="264" t="e">
        <f t="shared" si="0"/>
        <v>#REF!</v>
      </c>
    </row>
    <row r="21" spans="1:14" ht="30" customHeight="1" hidden="1">
      <c r="A21" s="3" t="s">
        <v>97</v>
      </c>
      <c r="B21" s="10" t="s">
        <v>71</v>
      </c>
      <c r="C21" s="10" t="s">
        <v>66</v>
      </c>
      <c r="D21" s="54" t="e">
        <f>#REF!+#REF!</f>
        <v>#REF!</v>
      </c>
      <c r="E21" s="54"/>
      <c r="F21" s="54"/>
      <c r="H21" s="54" t="e">
        <f>#REF!+#REF!</f>
        <v>#REF!</v>
      </c>
      <c r="J21" s="96" t="e">
        <f>#REF!+#REF!</f>
        <v>#REF!</v>
      </c>
      <c r="K21" s="96" t="e">
        <f>#REF!+#REF!</f>
        <v>#REF!</v>
      </c>
      <c r="L21" s="212" t="e">
        <f>#REF!+#REF!</f>
        <v>#REF!</v>
      </c>
      <c r="M21" s="212" t="e">
        <f>#REF!+#REF!</f>
        <v>#REF!</v>
      </c>
      <c r="N21" s="264" t="e">
        <f t="shared" si="0"/>
        <v>#REF!</v>
      </c>
    </row>
    <row r="22" spans="1:14" ht="42.75">
      <c r="A22" s="4" t="s">
        <v>93</v>
      </c>
      <c r="B22" s="11" t="s">
        <v>140</v>
      </c>
      <c r="C22" s="11" t="s">
        <v>168</v>
      </c>
      <c r="D22" s="54">
        <f>'[2]15 (3)'!H22</f>
        <v>1190</v>
      </c>
      <c r="E22" s="54">
        <v>1205</v>
      </c>
      <c r="F22" s="54"/>
      <c r="H22" s="54" t="e">
        <f>'15 (3)'!I22</f>
        <v>#REF!</v>
      </c>
      <c r="I22" s="63" t="e">
        <f>H22</f>
        <v>#REF!</v>
      </c>
      <c r="J22" s="96" t="e">
        <f>'15 (3)'!K22</f>
        <v>#REF!</v>
      </c>
      <c r="K22" s="96" t="e">
        <f>'15 (3)'!L22</f>
        <v>#REF!</v>
      </c>
      <c r="L22" s="212">
        <f>'15 (3)'!M22</f>
        <v>1895.1</v>
      </c>
      <c r="M22" s="212">
        <f>'15 (3)'!N22</f>
        <v>1894.8718</v>
      </c>
      <c r="N22" s="264">
        <f t="shared" si="0"/>
        <v>99.9879584190808</v>
      </c>
    </row>
    <row r="23" spans="1:14" ht="51" customHeight="1" hidden="1">
      <c r="A23" s="5" t="s">
        <v>1</v>
      </c>
      <c r="B23" s="12" t="s">
        <v>71</v>
      </c>
      <c r="C23" s="12" t="s">
        <v>72</v>
      </c>
      <c r="D23" s="54" t="e">
        <f>#REF!+#REF!</f>
        <v>#REF!</v>
      </c>
      <c r="E23" s="54"/>
      <c r="F23" s="54"/>
      <c r="H23" s="54" t="e">
        <f>#REF!+#REF!</f>
        <v>#REF!</v>
      </c>
      <c r="J23" s="96" t="e">
        <f>#REF!+#REF!</f>
        <v>#REF!</v>
      </c>
      <c r="K23" s="96" t="e">
        <f>#REF!+#REF!</f>
        <v>#REF!</v>
      </c>
      <c r="L23" s="212" t="e">
        <f>#REF!+#REF!</f>
        <v>#REF!</v>
      </c>
      <c r="M23" s="212" t="e">
        <f>#REF!+#REF!</f>
        <v>#REF!</v>
      </c>
      <c r="N23" s="264" t="e">
        <f t="shared" si="0"/>
        <v>#REF!</v>
      </c>
    </row>
    <row r="24" spans="1:14" ht="15" customHeight="1" hidden="1">
      <c r="A24" s="5" t="s">
        <v>86</v>
      </c>
      <c r="B24" s="12" t="s">
        <v>71</v>
      </c>
      <c r="C24" s="12" t="s">
        <v>72</v>
      </c>
      <c r="D24" s="54" t="e">
        <f>#REF!+#REF!</f>
        <v>#REF!</v>
      </c>
      <c r="E24" s="54"/>
      <c r="F24" s="54"/>
      <c r="H24" s="54" t="e">
        <f>#REF!+#REF!</f>
        <v>#REF!</v>
      </c>
      <c r="J24" s="96" t="e">
        <f>#REF!+#REF!</f>
        <v>#REF!</v>
      </c>
      <c r="K24" s="96" t="e">
        <f>#REF!+#REF!</f>
        <v>#REF!</v>
      </c>
      <c r="L24" s="212" t="e">
        <f>#REF!+#REF!</f>
        <v>#REF!</v>
      </c>
      <c r="M24" s="212" t="e">
        <f>#REF!+#REF!</f>
        <v>#REF!</v>
      </c>
      <c r="N24" s="264" t="e">
        <f t="shared" si="0"/>
        <v>#REF!</v>
      </c>
    </row>
    <row r="25" spans="1:14" ht="25.5" customHeight="1" hidden="1">
      <c r="A25" s="6" t="s">
        <v>97</v>
      </c>
      <c r="B25" s="13" t="s">
        <v>71</v>
      </c>
      <c r="C25" s="13" t="s">
        <v>72</v>
      </c>
      <c r="D25" s="54" t="e">
        <f>#REF!+#REF!</f>
        <v>#REF!</v>
      </c>
      <c r="E25" s="54"/>
      <c r="F25" s="54"/>
      <c r="H25" s="54" t="e">
        <f>#REF!+#REF!</f>
        <v>#REF!</v>
      </c>
      <c r="J25" s="96" t="e">
        <f>#REF!+#REF!</f>
        <v>#REF!</v>
      </c>
      <c r="K25" s="96" t="e">
        <f>#REF!+#REF!</f>
        <v>#REF!</v>
      </c>
      <c r="L25" s="212" t="e">
        <f>#REF!+#REF!</f>
        <v>#REF!</v>
      </c>
      <c r="M25" s="212" t="e">
        <f>#REF!+#REF!</f>
        <v>#REF!</v>
      </c>
      <c r="N25" s="264" t="e">
        <f t="shared" si="0"/>
        <v>#REF!</v>
      </c>
    </row>
    <row r="26" spans="1:14" ht="42.75" customHeight="1">
      <c r="A26" s="4" t="s">
        <v>94</v>
      </c>
      <c r="B26" s="11" t="s">
        <v>140</v>
      </c>
      <c r="C26" s="11" t="s">
        <v>171</v>
      </c>
      <c r="D26" s="54">
        <f>'[2]15 (3)'!H32</f>
        <v>14355.24</v>
      </c>
      <c r="E26" s="54">
        <v>14735.24</v>
      </c>
      <c r="F26" s="54"/>
      <c r="H26" s="54" t="e">
        <f>'15 (3)'!I27</f>
        <v>#REF!</v>
      </c>
      <c r="I26" s="63" t="e">
        <f>H26</f>
        <v>#REF!</v>
      </c>
      <c r="J26" s="96" t="e">
        <f>'15 (3)'!K27</f>
        <v>#REF!</v>
      </c>
      <c r="K26" s="96" t="e">
        <f>'15 (3)'!L27</f>
        <v>#REF!</v>
      </c>
      <c r="L26" s="212">
        <f>'15 (3)'!M27</f>
        <v>19457</v>
      </c>
      <c r="M26" s="212">
        <f>'15 (3)'!N27</f>
        <v>19030.30777</v>
      </c>
      <c r="N26" s="264">
        <f t="shared" si="0"/>
        <v>97.80699886930154</v>
      </c>
    </row>
    <row r="27" spans="1:14" ht="51" customHeight="1" hidden="1">
      <c r="A27" s="5" t="s">
        <v>1</v>
      </c>
      <c r="B27" s="12" t="s">
        <v>71</v>
      </c>
      <c r="C27" s="12" t="s">
        <v>74</v>
      </c>
      <c r="D27" s="54" t="e">
        <f>#REF!+#REF!</f>
        <v>#REF!</v>
      </c>
      <c r="E27" s="54"/>
      <c r="F27" s="54"/>
      <c r="H27" s="54" t="e">
        <f>#REF!+#REF!</f>
        <v>#REF!</v>
      </c>
      <c r="J27" s="96" t="e">
        <f>#REF!+#REF!</f>
        <v>#REF!</v>
      </c>
      <c r="K27" s="96" t="e">
        <f>#REF!+#REF!</f>
        <v>#REF!</v>
      </c>
      <c r="L27" s="212" t="e">
        <f>#REF!+#REF!</f>
        <v>#REF!</v>
      </c>
      <c r="M27" s="212" t="e">
        <f>#REF!+#REF!</f>
        <v>#REF!</v>
      </c>
      <c r="N27" s="264" t="e">
        <f t="shared" si="0"/>
        <v>#REF!</v>
      </c>
    </row>
    <row r="28" spans="1:14" ht="15" customHeight="1" hidden="1">
      <c r="A28" s="5" t="s">
        <v>86</v>
      </c>
      <c r="B28" s="12" t="s">
        <v>71</v>
      </c>
      <c r="C28" s="12" t="s">
        <v>74</v>
      </c>
      <c r="D28" s="54" t="e">
        <f>#REF!+#REF!</f>
        <v>#REF!</v>
      </c>
      <c r="E28" s="54"/>
      <c r="F28" s="54"/>
      <c r="H28" s="54" t="e">
        <f>#REF!+#REF!</f>
        <v>#REF!</v>
      </c>
      <c r="J28" s="96" t="e">
        <f>#REF!+#REF!</f>
        <v>#REF!</v>
      </c>
      <c r="K28" s="96" t="e">
        <f>#REF!+#REF!</f>
        <v>#REF!</v>
      </c>
      <c r="L28" s="212" t="e">
        <f>#REF!+#REF!</f>
        <v>#REF!</v>
      </c>
      <c r="M28" s="212" t="e">
        <f>#REF!+#REF!</f>
        <v>#REF!</v>
      </c>
      <c r="N28" s="264" t="e">
        <f t="shared" si="0"/>
        <v>#REF!</v>
      </c>
    </row>
    <row r="29" spans="1:14" ht="25.5" customHeight="1" hidden="1">
      <c r="A29" s="6" t="s">
        <v>97</v>
      </c>
      <c r="B29" s="13" t="s">
        <v>71</v>
      </c>
      <c r="C29" s="13" t="s">
        <v>74</v>
      </c>
      <c r="D29" s="54" t="e">
        <f>#REF!+#REF!</f>
        <v>#REF!</v>
      </c>
      <c r="E29" s="54"/>
      <c r="F29" s="54"/>
      <c r="H29" s="54" t="e">
        <f>#REF!+#REF!</f>
        <v>#REF!</v>
      </c>
      <c r="J29" s="96" t="e">
        <f>#REF!+#REF!</f>
        <v>#REF!</v>
      </c>
      <c r="K29" s="96" t="e">
        <f>#REF!+#REF!</f>
        <v>#REF!</v>
      </c>
      <c r="L29" s="212" t="e">
        <f>#REF!+#REF!</f>
        <v>#REF!</v>
      </c>
      <c r="M29" s="212" t="e">
        <f>#REF!+#REF!</f>
        <v>#REF!</v>
      </c>
      <c r="N29" s="264" t="e">
        <f t="shared" si="0"/>
        <v>#REF!</v>
      </c>
    </row>
    <row r="30" spans="1:14" ht="15" customHeight="1" hidden="1">
      <c r="A30" s="4" t="s">
        <v>75</v>
      </c>
      <c r="B30" s="11" t="s">
        <v>71</v>
      </c>
      <c r="C30" s="11" t="s">
        <v>76</v>
      </c>
      <c r="D30" s="54" t="e">
        <f>#REF!+#REF!</f>
        <v>#REF!</v>
      </c>
      <c r="E30" s="54"/>
      <c r="F30" s="54"/>
      <c r="H30" s="54" t="e">
        <f>#REF!+#REF!</f>
        <v>#REF!</v>
      </c>
      <c r="J30" s="96" t="e">
        <f>#REF!+#REF!</f>
        <v>#REF!</v>
      </c>
      <c r="K30" s="96" t="e">
        <f>#REF!+#REF!</f>
        <v>#REF!</v>
      </c>
      <c r="L30" s="212" t="e">
        <f>#REF!+#REF!</f>
        <v>#REF!</v>
      </c>
      <c r="M30" s="212" t="e">
        <f>#REF!+#REF!</f>
        <v>#REF!</v>
      </c>
      <c r="N30" s="264" t="e">
        <f t="shared" si="0"/>
        <v>#REF!</v>
      </c>
    </row>
    <row r="31" spans="1:14" ht="51" customHeight="1" hidden="1">
      <c r="A31" s="5" t="s">
        <v>1</v>
      </c>
      <c r="B31" s="12" t="s">
        <v>71</v>
      </c>
      <c r="C31" s="12" t="s">
        <v>76</v>
      </c>
      <c r="D31" s="54" t="e">
        <f>#REF!+#REF!</f>
        <v>#REF!</v>
      </c>
      <c r="E31" s="54"/>
      <c r="F31" s="54"/>
      <c r="H31" s="54" t="e">
        <f>#REF!+#REF!</f>
        <v>#REF!</v>
      </c>
      <c r="J31" s="96" t="e">
        <f>#REF!+#REF!</f>
        <v>#REF!</v>
      </c>
      <c r="K31" s="96" t="e">
        <f>#REF!+#REF!</f>
        <v>#REF!</v>
      </c>
      <c r="L31" s="212" t="e">
        <f>#REF!+#REF!</f>
        <v>#REF!</v>
      </c>
      <c r="M31" s="212" t="e">
        <f>#REF!+#REF!</f>
        <v>#REF!</v>
      </c>
      <c r="N31" s="264" t="e">
        <f t="shared" si="0"/>
        <v>#REF!</v>
      </c>
    </row>
    <row r="32" spans="1:14" ht="15" customHeight="1" hidden="1">
      <c r="A32" s="5" t="s">
        <v>25</v>
      </c>
      <c r="B32" s="12" t="s">
        <v>71</v>
      </c>
      <c r="C32" s="12" t="s">
        <v>76</v>
      </c>
      <c r="D32" s="54" t="e">
        <f>#REF!+#REF!</f>
        <v>#REF!</v>
      </c>
      <c r="E32" s="54"/>
      <c r="F32" s="54"/>
      <c r="H32" s="54" t="e">
        <f>#REF!+#REF!</f>
        <v>#REF!</v>
      </c>
      <c r="J32" s="96" t="e">
        <f>#REF!+#REF!</f>
        <v>#REF!</v>
      </c>
      <c r="K32" s="96" t="e">
        <f>#REF!+#REF!</f>
        <v>#REF!</v>
      </c>
      <c r="L32" s="212" t="e">
        <f>#REF!+#REF!</f>
        <v>#REF!</v>
      </c>
      <c r="M32" s="212" t="e">
        <f>#REF!+#REF!</f>
        <v>#REF!</v>
      </c>
      <c r="N32" s="264" t="e">
        <f t="shared" si="0"/>
        <v>#REF!</v>
      </c>
    </row>
    <row r="33" spans="1:14" ht="15" customHeight="1" hidden="1">
      <c r="A33" s="6" t="s">
        <v>25</v>
      </c>
      <c r="B33" s="13" t="s">
        <v>71</v>
      </c>
      <c r="C33" s="13" t="s">
        <v>76</v>
      </c>
      <c r="D33" s="54" t="e">
        <f>#REF!+#REF!</f>
        <v>#REF!</v>
      </c>
      <c r="E33" s="54"/>
      <c r="F33" s="54"/>
      <c r="H33" s="54" t="e">
        <f>#REF!+#REF!</f>
        <v>#REF!</v>
      </c>
      <c r="J33" s="96" t="e">
        <f>#REF!+#REF!</f>
        <v>#REF!</v>
      </c>
      <c r="K33" s="96" t="e">
        <f>#REF!+#REF!</f>
        <v>#REF!</v>
      </c>
      <c r="L33" s="212" t="e">
        <f>#REF!+#REF!</f>
        <v>#REF!</v>
      </c>
      <c r="M33" s="212" t="e">
        <f>#REF!+#REF!</f>
        <v>#REF!</v>
      </c>
      <c r="N33" s="264" t="e">
        <f t="shared" si="0"/>
        <v>#REF!</v>
      </c>
    </row>
    <row r="34" spans="1:14" ht="31.5" customHeight="1">
      <c r="A34" s="4" t="s">
        <v>27</v>
      </c>
      <c r="B34" s="11" t="s">
        <v>140</v>
      </c>
      <c r="C34" s="11" t="s">
        <v>175</v>
      </c>
      <c r="D34" s="54">
        <f>'[2]15 (3)'!H44</f>
        <v>2031</v>
      </c>
      <c r="E34" s="54">
        <v>2031</v>
      </c>
      <c r="F34" s="54"/>
      <c r="H34" s="54">
        <f>'15 (3)'!I32</f>
        <v>1851</v>
      </c>
      <c r="I34" s="63">
        <f>H34</f>
        <v>1851</v>
      </c>
      <c r="J34" s="96">
        <f>'15 (3)'!K32</f>
        <v>1851</v>
      </c>
      <c r="K34" s="96" t="e">
        <f>'15 (3)'!L32</f>
        <v>#REF!</v>
      </c>
      <c r="L34" s="212">
        <f>'15 (3)'!M32</f>
        <v>2419.3</v>
      </c>
      <c r="M34" s="212">
        <f>'15 (3)'!N32</f>
        <v>2419.3</v>
      </c>
      <c r="N34" s="264">
        <f t="shared" si="0"/>
        <v>100</v>
      </c>
    </row>
    <row r="35" spans="1:14" ht="52.5" customHeight="1" hidden="1">
      <c r="A35" s="5" t="s">
        <v>1</v>
      </c>
      <c r="B35" s="12" t="s">
        <v>71</v>
      </c>
      <c r="C35" s="12" t="s">
        <v>77</v>
      </c>
      <c r="D35" s="54" t="e">
        <f>#REF!+#REF!</f>
        <v>#REF!</v>
      </c>
      <c r="E35" s="54"/>
      <c r="F35" s="54"/>
      <c r="H35" s="54" t="e">
        <f>#REF!+#REF!</f>
        <v>#REF!</v>
      </c>
      <c r="J35" s="96" t="e">
        <f>#REF!+#REF!</f>
        <v>#REF!</v>
      </c>
      <c r="K35" s="96" t="e">
        <f>#REF!+#REF!</f>
        <v>#REF!</v>
      </c>
      <c r="L35" s="212" t="e">
        <f>#REF!+#REF!</f>
        <v>#REF!</v>
      </c>
      <c r="M35" s="212" t="e">
        <f>#REF!+#REF!</f>
        <v>#REF!</v>
      </c>
      <c r="N35" s="212" t="e">
        <f>#REF!+#REF!</f>
        <v>#REF!</v>
      </c>
    </row>
    <row r="36" spans="1:14" ht="15" customHeight="1" hidden="1">
      <c r="A36" s="5" t="s">
        <v>86</v>
      </c>
      <c r="B36" s="12" t="s">
        <v>71</v>
      </c>
      <c r="C36" s="12" t="s">
        <v>77</v>
      </c>
      <c r="D36" s="54" t="e">
        <f>#REF!+#REF!</f>
        <v>#REF!</v>
      </c>
      <c r="E36" s="54"/>
      <c r="F36" s="54"/>
      <c r="H36" s="54" t="e">
        <f>#REF!+#REF!</f>
        <v>#REF!</v>
      </c>
      <c r="J36" s="96" t="e">
        <f>#REF!+#REF!</f>
        <v>#REF!</v>
      </c>
      <c r="K36" s="96" t="e">
        <f>#REF!+#REF!</f>
        <v>#REF!</v>
      </c>
      <c r="L36" s="212" t="e">
        <f>#REF!+#REF!</f>
        <v>#REF!</v>
      </c>
      <c r="M36" s="212" t="e">
        <f>#REF!+#REF!</f>
        <v>#REF!</v>
      </c>
      <c r="N36" s="212" t="e">
        <f>#REF!+#REF!</f>
        <v>#REF!</v>
      </c>
    </row>
    <row r="37" spans="1:14" ht="25.5" customHeight="1" hidden="1">
      <c r="A37" s="6" t="s">
        <v>97</v>
      </c>
      <c r="B37" s="12" t="s">
        <v>71</v>
      </c>
      <c r="C37" s="12" t="s">
        <v>77</v>
      </c>
      <c r="D37" s="54" t="e">
        <f>#REF!+#REF!</f>
        <v>#REF!</v>
      </c>
      <c r="E37" s="54"/>
      <c r="F37" s="54"/>
      <c r="H37" s="54" t="e">
        <f>#REF!+#REF!</f>
        <v>#REF!</v>
      </c>
      <c r="J37" s="96" t="e">
        <f>#REF!+#REF!</f>
        <v>#REF!</v>
      </c>
      <c r="K37" s="96" t="e">
        <f>#REF!+#REF!</f>
        <v>#REF!</v>
      </c>
      <c r="L37" s="212" t="e">
        <f>#REF!+#REF!</f>
        <v>#REF!</v>
      </c>
      <c r="M37" s="212" t="e">
        <f>#REF!+#REF!</f>
        <v>#REF!</v>
      </c>
      <c r="N37" s="212" t="e">
        <f>#REF!+#REF!</f>
        <v>#REF!</v>
      </c>
    </row>
    <row r="38" spans="1:14" ht="25.5" customHeight="1">
      <c r="A38" s="85" t="s">
        <v>270</v>
      </c>
      <c r="B38" s="11" t="s">
        <v>140</v>
      </c>
      <c r="C38" s="11" t="s">
        <v>269</v>
      </c>
      <c r="D38" s="54"/>
      <c r="E38" s="54"/>
      <c r="F38" s="54"/>
      <c r="H38" s="54" t="e">
        <f>'15 (3)'!#REF!</f>
        <v>#REF!</v>
      </c>
      <c r="J38" s="96" t="e">
        <f>'15 (3)'!#REF!</f>
        <v>#REF!</v>
      </c>
      <c r="K38" s="96" t="e">
        <f>'15 (3)'!#REF!</f>
        <v>#REF!</v>
      </c>
      <c r="L38" s="212"/>
      <c r="M38" s="212"/>
      <c r="N38" s="212"/>
    </row>
    <row r="39" spans="1:14" ht="14.25">
      <c r="A39" s="4" t="s">
        <v>101</v>
      </c>
      <c r="B39" s="11" t="s">
        <v>140</v>
      </c>
      <c r="C39" s="11" t="s">
        <v>251</v>
      </c>
      <c r="D39" s="54">
        <f>'[2]15 (3)'!H49</f>
        <v>519.4</v>
      </c>
      <c r="E39" s="54">
        <v>336.633</v>
      </c>
      <c r="F39" s="54"/>
      <c r="H39" s="54">
        <f>'15 (3)'!I37</f>
        <v>500</v>
      </c>
      <c r="I39" s="63">
        <f>H39</f>
        <v>500</v>
      </c>
      <c r="J39" s="96">
        <f>'15 (3)'!K37</f>
        <v>500</v>
      </c>
      <c r="K39" s="96">
        <f>'15 (3)'!L37</f>
        <v>500</v>
      </c>
      <c r="L39" s="212">
        <f>'15 (3)'!M37</f>
        <v>0</v>
      </c>
      <c r="M39" s="212">
        <f>'15 (3)'!N37</f>
        <v>0</v>
      </c>
      <c r="N39" s="212">
        <f>'15 (3)'!O37</f>
        <v>0</v>
      </c>
    </row>
    <row r="40" spans="1:14" ht="15" customHeight="1" hidden="1">
      <c r="A40" s="5" t="s">
        <v>101</v>
      </c>
      <c r="B40" s="12" t="s">
        <v>71</v>
      </c>
      <c r="C40" s="12" t="s">
        <v>79</v>
      </c>
      <c r="D40" s="54" t="e">
        <f>#REF!+#REF!</f>
        <v>#REF!</v>
      </c>
      <c r="E40" s="54"/>
      <c r="F40" s="54"/>
      <c r="H40" s="54" t="e">
        <f>#REF!+#REF!</f>
        <v>#REF!</v>
      </c>
      <c r="J40" s="96" t="e">
        <f>#REF!+#REF!</f>
        <v>#REF!</v>
      </c>
      <c r="K40" s="96" t="e">
        <f>#REF!+#REF!</f>
        <v>#REF!</v>
      </c>
      <c r="L40" s="212" t="e">
        <f>#REF!+#REF!</f>
        <v>#REF!</v>
      </c>
      <c r="M40" s="212" t="e">
        <f>#REF!+#REF!</f>
        <v>#REF!</v>
      </c>
      <c r="N40" s="212" t="e">
        <f>#REF!+#REF!</f>
        <v>#REF!</v>
      </c>
    </row>
    <row r="41" spans="1:14" ht="15" customHeight="1" hidden="1">
      <c r="A41" s="5" t="s">
        <v>104</v>
      </c>
      <c r="B41" s="12" t="s">
        <v>71</v>
      </c>
      <c r="C41" s="12" t="s">
        <v>79</v>
      </c>
      <c r="D41" s="54" t="e">
        <f>#REF!+#REF!</f>
        <v>#REF!</v>
      </c>
      <c r="E41" s="54"/>
      <c r="F41" s="54"/>
      <c r="H41" s="54" t="e">
        <f>#REF!+#REF!</f>
        <v>#REF!</v>
      </c>
      <c r="J41" s="96" t="e">
        <f>#REF!+#REF!</f>
        <v>#REF!</v>
      </c>
      <c r="K41" s="96" t="e">
        <f>#REF!+#REF!</f>
        <v>#REF!</v>
      </c>
      <c r="L41" s="212" t="e">
        <f>#REF!+#REF!</f>
        <v>#REF!</v>
      </c>
      <c r="M41" s="212" t="e">
        <f>#REF!+#REF!</f>
        <v>#REF!</v>
      </c>
      <c r="N41" s="212" t="e">
        <f>#REF!+#REF!</f>
        <v>#REF!</v>
      </c>
    </row>
    <row r="42" spans="1:14" ht="15" customHeight="1" hidden="1">
      <c r="A42" s="6" t="s">
        <v>26</v>
      </c>
      <c r="B42" s="12" t="s">
        <v>71</v>
      </c>
      <c r="C42" s="12" t="s">
        <v>79</v>
      </c>
      <c r="D42" s="54" t="e">
        <f>#REF!+#REF!</f>
        <v>#REF!</v>
      </c>
      <c r="E42" s="54"/>
      <c r="F42" s="54"/>
      <c r="H42" s="54" t="e">
        <f>#REF!+#REF!</f>
        <v>#REF!</v>
      </c>
      <c r="J42" s="96" t="e">
        <f>#REF!+#REF!</f>
        <v>#REF!</v>
      </c>
      <c r="K42" s="96" t="e">
        <f>#REF!+#REF!</f>
        <v>#REF!</v>
      </c>
      <c r="L42" s="212" t="e">
        <f>#REF!+#REF!</f>
        <v>#REF!</v>
      </c>
      <c r="M42" s="212" t="e">
        <f>#REF!+#REF!</f>
        <v>#REF!</v>
      </c>
      <c r="N42" s="212" t="e">
        <f>#REF!+#REF!</f>
        <v>#REF!</v>
      </c>
    </row>
    <row r="43" spans="1:14" ht="15" customHeight="1">
      <c r="A43" s="4" t="s">
        <v>39</v>
      </c>
      <c r="B43" s="11" t="s">
        <v>140</v>
      </c>
      <c r="C43" s="11" t="s">
        <v>252</v>
      </c>
      <c r="D43" s="54">
        <f>'[2]15 (3)'!H54</f>
        <v>2108.8</v>
      </c>
      <c r="E43" s="54">
        <v>2210.37</v>
      </c>
      <c r="F43" s="54"/>
      <c r="H43" s="54" t="e">
        <f>'15 (3)'!I43</f>
        <v>#REF!</v>
      </c>
      <c r="I43" s="63" t="e">
        <f>H43-'15 (3)'!I46-'15 (3)'!I49-'15 (3)'!I52</f>
        <v>#REF!</v>
      </c>
      <c r="J43" s="96" t="e">
        <f>'15 (3)'!K43</f>
        <v>#REF!</v>
      </c>
      <c r="K43" s="96" t="e">
        <f>'15 (3)'!L43</f>
        <v>#REF!</v>
      </c>
      <c r="L43" s="212">
        <f>'15 (3)'!M43</f>
        <v>4834.487999999999</v>
      </c>
      <c r="M43" s="212">
        <f>'15 (3)'!N43</f>
        <v>4820.17353</v>
      </c>
      <c r="N43" s="264">
        <f>M43/L43*100</f>
        <v>99.70390928677453</v>
      </c>
    </row>
    <row r="44" spans="1:14" ht="25.5" customHeight="1" hidden="1">
      <c r="A44" s="4" t="s">
        <v>39</v>
      </c>
      <c r="B44" s="12" t="s">
        <v>140</v>
      </c>
      <c r="C44" s="12" t="s">
        <v>169</v>
      </c>
      <c r="D44" s="54" t="e">
        <f>#REF!+#REF!</f>
        <v>#REF!</v>
      </c>
      <c r="E44" s="54"/>
      <c r="F44" s="54"/>
      <c r="H44" s="54" t="e">
        <f>#REF!+#REF!</f>
        <v>#REF!</v>
      </c>
      <c r="J44" s="96" t="e">
        <f>#REF!+#REF!</f>
        <v>#REF!</v>
      </c>
      <c r="K44" s="96" t="e">
        <f>#REF!+#REF!</f>
        <v>#REF!</v>
      </c>
      <c r="L44" s="212" t="e">
        <f>#REF!+#REF!</f>
        <v>#REF!</v>
      </c>
      <c r="M44" s="212" t="e">
        <f>#REF!+#REF!</f>
        <v>#REF!</v>
      </c>
      <c r="N44" s="212" t="e">
        <f>#REF!+#REF!</f>
        <v>#REF!</v>
      </c>
    </row>
    <row r="45" spans="1:14" ht="25.5" customHeight="1" hidden="1">
      <c r="A45" s="5" t="s">
        <v>17</v>
      </c>
      <c r="B45" s="12" t="s">
        <v>71</v>
      </c>
      <c r="C45" s="12" t="s">
        <v>96</v>
      </c>
      <c r="D45" s="54" t="e">
        <f>#REF!+#REF!</f>
        <v>#REF!</v>
      </c>
      <c r="E45" s="54"/>
      <c r="F45" s="54"/>
      <c r="H45" s="54" t="e">
        <f>#REF!+#REF!</f>
        <v>#REF!</v>
      </c>
      <c r="J45" s="96" t="e">
        <f>#REF!+#REF!</f>
        <v>#REF!</v>
      </c>
      <c r="K45" s="96" t="e">
        <f>#REF!+#REF!</f>
        <v>#REF!</v>
      </c>
      <c r="L45" s="212" t="e">
        <f>#REF!+#REF!</f>
        <v>#REF!</v>
      </c>
      <c r="M45" s="212" t="e">
        <f>#REF!+#REF!</f>
        <v>#REF!</v>
      </c>
      <c r="N45" s="212" t="e">
        <f>#REF!+#REF!</f>
        <v>#REF!</v>
      </c>
    </row>
    <row r="46" spans="1:14" ht="15" customHeight="1" hidden="1">
      <c r="A46" s="6" t="s">
        <v>105</v>
      </c>
      <c r="B46" s="13" t="s">
        <v>71</v>
      </c>
      <c r="C46" s="13" t="s">
        <v>96</v>
      </c>
      <c r="D46" s="54" t="e">
        <f>#REF!+#REF!</f>
        <v>#REF!</v>
      </c>
      <c r="E46" s="54"/>
      <c r="F46" s="54"/>
      <c r="H46" s="54" t="e">
        <f>#REF!+#REF!</f>
        <v>#REF!</v>
      </c>
      <c r="J46" s="96" t="e">
        <f>#REF!+#REF!</f>
        <v>#REF!</v>
      </c>
      <c r="K46" s="96" t="e">
        <f>#REF!+#REF!</f>
        <v>#REF!</v>
      </c>
      <c r="L46" s="212" t="e">
        <f>#REF!+#REF!</f>
        <v>#REF!</v>
      </c>
      <c r="M46" s="212" t="e">
        <f>#REF!+#REF!</f>
        <v>#REF!</v>
      </c>
      <c r="N46" s="212" t="e">
        <f>#REF!+#REF!</f>
        <v>#REF!</v>
      </c>
    </row>
    <row r="47" spans="1:14" ht="51" customHeight="1" hidden="1">
      <c r="A47" s="5" t="s">
        <v>1</v>
      </c>
      <c r="B47" s="12" t="s">
        <v>71</v>
      </c>
      <c r="C47" s="12" t="s">
        <v>96</v>
      </c>
      <c r="D47" s="54" t="e">
        <f>#REF!+#REF!</f>
        <v>#REF!</v>
      </c>
      <c r="E47" s="54"/>
      <c r="F47" s="54"/>
      <c r="H47" s="54" t="e">
        <f>#REF!+#REF!</f>
        <v>#REF!</v>
      </c>
      <c r="J47" s="96" t="e">
        <f>#REF!+#REF!</f>
        <v>#REF!</v>
      </c>
      <c r="K47" s="96" t="e">
        <f>#REF!+#REF!</f>
        <v>#REF!</v>
      </c>
      <c r="L47" s="212" t="e">
        <f>#REF!+#REF!</f>
        <v>#REF!</v>
      </c>
      <c r="M47" s="212" t="e">
        <f>#REF!+#REF!</f>
        <v>#REF!</v>
      </c>
      <c r="N47" s="212" t="e">
        <f>#REF!+#REF!</f>
        <v>#REF!</v>
      </c>
    </row>
    <row r="48" spans="1:14" ht="15" customHeight="1" hidden="1">
      <c r="A48" s="6" t="s">
        <v>86</v>
      </c>
      <c r="B48" s="13" t="s">
        <v>71</v>
      </c>
      <c r="C48" s="13" t="s">
        <v>96</v>
      </c>
      <c r="D48" s="54" t="e">
        <f>#REF!+#REF!</f>
        <v>#REF!</v>
      </c>
      <c r="E48" s="54"/>
      <c r="F48" s="54"/>
      <c r="H48" s="54" t="e">
        <f>#REF!+#REF!</f>
        <v>#REF!</v>
      </c>
      <c r="J48" s="96" t="e">
        <f>#REF!+#REF!</f>
        <v>#REF!</v>
      </c>
      <c r="K48" s="96" t="e">
        <f>#REF!+#REF!</f>
        <v>#REF!</v>
      </c>
      <c r="L48" s="212" t="e">
        <f>#REF!+#REF!</f>
        <v>#REF!</v>
      </c>
      <c r="M48" s="212" t="e">
        <f>#REF!+#REF!</f>
        <v>#REF!</v>
      </c>
      <c r="N48" s="212" t="e">
        <f>#REF!+#REF!</f>
        <v>#REF!</v>
      </c>
    </row>
    <row r="49" spans="1:14" ht="15" customHeight="1" hidden="1">
      <c r="A49" s="5" t="s">
        <v>106</v>
      </c>
      <c r="B49" s="12" t="s">
        <v>71</v>
      </c>
      <c r="C49" s="12" t="s">
        <v>96</v>
      </c>
      <c r="D49" s="54" t="e">
        <f>#REF!+#REF!</f>
        <v>#REF!</v>
      </c>
      <c r="E49" s="54"/>
      <c r="F49" s="54"/>
      <c r="H49" s="54" t="e">
        <f>#REF!+#REF!</f>
        <v>#REF!</v>
      </c>
      <c r="J49" s="96" t="e">
        <f>#REF!+#REF!</f>
        <v>#REF!</v>
      </c>
      <c r="K49" s="96" t="e">
        <f>#REF!+#REF!</f>
        <v>#REF!</v>
      </c>
      <c r="L49" s="212" t="e">
        <f>#REF!+#REF!</f>
        <v>#REF!</v>
      </c>
      <c r="M49" s="212" t="e">
        <f>#REF!+#REF!</f>
        <v>#REF!</v>
      </c>
      <c r="N49" s="212" t="e">
        <f>#REF!+#REF!</f>
        <v>#REF!</v>
      </c>
    </row>
    <row r="50" spans="1:14" ht="38.25" customHeight="1" hidden="1">
      <c r="A50" s="5" t="s">
        <v>108</v>
      </c>
      <c r="B50" s="12" t="s">
        <v>71</v>
      </c>
      <c r="C50" s="12" t="s">
        <v>96</v>
      </c>
      <c r="D50" s="54" t="e">
        <f>#REF!+#REF!</f>
        <v>#REF!</v>
      </c>
      <c r="E50" s="54"/>
      <c r="F50" s="54"/>
      <c r="H50" s="54" t="e">
        <f>#REF!+#REF!</f>
        <v>#REF!</v>
      </c>
      <c r="J50" s="96" t="e">
        <f>#REF!+#REF!</f>
        <v>#REF!</v>
      </c>
      <c r="K50" s="96" t="e">
        <f>#REF!+#REF!</f>
        <v>#REF!</v>
      </c>
      <c r="L50" s="212" t="e">
        <f>#REF!+#REF!</f>
        <v>#REF!</v>
      </c>
      <c r="M50" s="212" t="e">
        <f>#REF!+#REF!</f>
        <v>#REF!</v>
      </c>
      <c r="N50" s="212" t="e">
        <f>#REF!+#REF!</f>
        <v>#REF!</v>
      </c>
    </row>
    <row r="51" spans="1:14" ht="38.25" customHeight="1" hidden="1">
      <c r="A51" s="5" t="s">
        <v>108</v>
      </c>
      <c r="B51" s="12" t="s">
        <v>71</v>
      </c>
      <c r="C51" s="12" t="s">
        <v>96</v>
      </c>
      <c r="D51" s="54" t="e">
        <f>#REF!+#REF!</f>
        <v>#REF!</v>
      </c>
      <c r="E51" s="54"/>
      <c r="F51" s="54"/>
      <c r="H51" s="54" t="e">
        <f>#REF!+#REF!</f>
        <v>#REF!</v>
      </c>
      <c r="J51" s="96" t="e">
        <f>#REF!+#REF!</f>
        <v>#REF!</v>
      </c>
      <c r="K51" s="96" t="e">
        <f>#REF!+#REF!</f>
        <v>#REF!</v>
      </c>
      <c r="L51" s="212" t="e">
        <f>#REF!+#REF!</f>
        <v>#REF!</v>
      </c>
      <c r="M51" s="212" t="e">
        <f>#REF!+#REF!</f>
        <v>#REF!</v>
      </c>
      <c r="N51" s="212" t="e">
        <f>#REF!+#REF!</f>
        <v>#REF!</v>
      </c>
    </row>
    <row r="52" spans="1:14" ht="15" customHeight="1" hidden="1">
      <c r="A52" s="6" t="s">
        <v>111</v>
      </c>
      <c r="B52" s="13" t="s">
        <v>71</v>
      </c>
      <c r="C52" s="13" t="s">
        <v>96</v>
      </c>
      <c r="D52" s="54" t="e">
        <f>#REF!+#REF!</f>
        <v>#REF!</v>
      </c>
      <c r="E52" s="54"/>
      <c r="F52" s="54"/>
      <c r="H52" s="54" t="e">
        <f>#REF!+#REF!</f>
        <v>#REF!</v>
      </c>
      <c r="J52" s="96" t="e">
        <f>#REF!+#REF!</f>
        <v>#REF!</v>
      </c>
      <c r="K52" s="96" t="e">
        <f>#REF!+#REF!</f>
        <v>#REF!</v>
      </c>
      <c r="L52" s="212" t="e">
        <f>#REF!+#REF!</f>
        <v>#REF!</v>
      </c>
      <c r="M52" s="212" t="e">
        <f>#REF!+#REF!</f>
        <v>#REF!</v>
      </c>
      <c r="N52" s="212" t="e">
        <f>#REF!+#REF!</f>
        <v>#REF!</v>
      </c>
    </row>
    <row r="53" spans="1:14" ht="15" customHeight="1" hidden="1">
      <c r="A53" s="5" t="s">
        <v>97</v>
      </c>
      <c r="B53" s="13" t="s">
        <v>71</v>
      </c>
      <c r="C53" s="13" t="s">
        <v>96</v>
      </c>
      <c r="D53" s="54" t="e">
        <f>#REF!+#REF!</f>
        <v>#REF!</v>
      </c>
      <c r="E53" s="54"/>
      <c r="F53" s="54"/>
      <c r="H53" s="54" t="e">
        <f>#REF!+#REF!</f>
        <v>#REF!</v>
      </c>
      <c r="J53" s="96" t="e">
        <f>#REF!+#REF!</f>
        <v>#REF!</v>
      </c>
      <c r="K53" s="96" t="e">
        <f>#REF!+#REF!</f>
        <v>#REF!</v>
      </c>
      <c r="L53" s="212" t="e">
        <f>#REF!+#REF!</f>
        <v>#REF!</v>
      </c>
      <c r="M53" s="212" t="e">
        <f>#REF!+#REF!</f>
        <v>#REF!</v>
      </c>
      <c r="N53" s="212" t="e">
        <f>#REF!+#REF!</f>
        <v>#REF!</v>
      </c>
    </row>
    <row r="54" spans="1:14" s="87" customFormat="1" ht="15" customHeight="1">
      <c r="A54" s="93" t="s">
        <v>263</v>
      </c>
      <c r="B54" s="89" t="s">
        <v>264</v>
      </c>
      <c r="C54" s="89"/>
      <c r="D54" s="92"/>
      <c r="E54" s="92"/>
      <c r="F54" s="92"/>
      <c r="H54" s="92">
        <f>H55</f>
        <v>767.9</v>
      </c>
      <c r="J54" s="98">
        <f>J55</f>
        <v>767.9</v>
      </c>
      <c r="K54" s="98">
        <f>K55</f>
        <v>787.5</v>
      </c>
      <c r="L54" s="230">
        <f>L55</f>
        <v>847.5</v>
      </c>
      <c r="M54" s="230">
        <f>M55</f>
        <v>847.5</v>
      </c>
      <c r="N54" s="263">
        <f>M54/L54*100</f>
        <v>100</v>
      </c>
    </row>
    <row r="55" spans="1:14" ht="15" customHeight="1">
      <c r="A55" s="85" t="s">
        <v>266</v>
      </c>
      <c r="B55" s="11" t="s">
        <v>264</v>
      </c>
      <c r="C55" s="11" t="s">
        <v>265</v>
      </c>
      <c r="D55" s="54"/>
      <c r="E55" s="54"/>
      <c r="F55" s="54"/>
      <c r="H55" s="54">
        <f>'15 (3)'!I80</f>
        <v>767.9</v>
      </c>
      <c r="J55" s="96">
        <f>'15 (3)'!K80</f>
        <v>767.9</v>
      </c>
      <c r="K55" s="96">
        <f>'15 (3)'!L80</f>
        <v>787.5</v>
      </c>
      <c r="L55" s="212">
        <f>'15 (3)'!M80</f>
        <v>847.5</v>
      </c>
      <c r="M55" s="212">
        <f>'15 (3)'!N80</f>
        <v>847.5</v>
      </c>
      <c r="N55" s="264">
        <f>M55/L55*100</f>
        <v>100</v>
      </c>
    </row>
    <row r="56" spans="1:14" s="87" customFormat="1" ht="31.5">
      <c r="A56" s="88" t="s">
        <v>37</v>
      </c>
      <c r="B56" s="89" t="s">
        <v>141</v>
      </c>
      <c r="C56" s="89"/>
      <c r="D56" s="92">
        <f>D57</f>
        <v>25</v>
      </c>
      <c r="E56" s="92">
        <f>E57</f>
        <v>25</v>
      </c>
      <c r="F56" s="92"/>
      <c r="H56" s="92" t="e">
        <f aca="true" t="shared" si="1" ref="H56:N56">H57</f>
        <v>#REF!</v>
      </c>
      <c r="I56" s="92" t="e">
        <f t="shared" si="1"/>
        <v>#REF!</v>
      </c>
      <c r="J56" s="98" t="e">
        <f t="shared" si="1"/>
        <v>#REF!</v>
      </c>
      <c r="K56" s="98" t="e">
        <f t="shared" si="1"/>
        <v>#REF!</v>
      </c>
      <c r="L56" s="230">
        <f t="shared" si="1"/>
        <v>0</v>
      </c>
      <c r="M56" s="230">
        <f t="shared" si="1"/>
        <v>0</v>
      </c>
      <c r="N56" s="230">
        <f t="shared" si="1"/>
        <v>0</v>
      </c>
    </row>
    <row r="57" spans="1:14" ht="14.25">
      <c r="A57" s="5" t="s">
        <v>38</v>
      </c>
      <c r="B57" s="11" t="s">
        <v>141</v>
      </c>
      <c r="C57" s="11" t="s">
        <v>189</v>
      </c>
      <c r="D57" s="54">
        <f>'[2]15 (3)'!H82</f>
        <v>25</v>
      </c>
      <c r="E57" s="54">
        <v>25</v>
      </c>
      <c r="F57" s="54"/>
      <c r="H57" s="54" t="e">
        <f>'15 (3)'!I85</f>
        <v>#REF!</v>
      </c>
      <c r="I57" s="63" t="e">
        <f>H57</f>
        <v>#REF!</v>
      </c>
      <c r="J57" s="96" t="e">
        <f>'15 (3)'!K85</f>
        <v>#REF!</v>
      </c>
      <c r="K57" s="96" t="e">
        <f>'15 (3)'!L85</f>
        <v>#REF!</v>
      </c>
      <c r="L57" s="212">
        <f>'15 (3)'!M85</f>
        <v>0</v>
      </c>
      <c r="M57" s="212">
        <f>'15 (3)'!N85</f>
        <v>0</v>
      </c>
      <c r="N57" s="212">
        <f>'15 (3)'!O85</f>
        <v>0</v>
      </c>
    </row>
    <row r="58" spans="1:14" ht="25.5" customHeight="1" hidden="1">
      <c r="A58" s="5" t="s">
        <v>68</v>
      </c>
      <c r="B58" s="12" t="s">
        <v>72</v>
      </c>
      <c r="C58" s="12" t="s">
        <v>66</v>
      </c>
      <c r="D58" s="54" t="e">
        <f>#REF!+#REF!</f>
        <v>#REF!</v>
      </c>
      <c r="E58" s="54"/>
      <c r="F58" s="54"/>
      <c r="H58" s="54" t="e">
        <f>#REF!+#REF!</f>
        <v>#REF!</v>
      </c>
      <c r="J58" s="96" t="e">
        <f>#REF!+#REF!</f>
        <v>#REF!</v>
      </c>
      <c r="K58" s="96" t="e">
        <f>#REF!+#REF!</f>
        <v>#REF!</v>
      </c>
      <c r="L58" s="212" t="e">
        <f>#REF!+#REF!</f>
        <v>#REF!</v>
      </c>
      <c r="M58" s="212" t="e">
        <f>#REF!+#REF!</f>
        <v>#REF!</v>
      </c>
      <c r="N58" s="212" t="e">
        <f>#REF!+#REF!</f>
        <v>#REF!</v>
      </c>
    </row>
    <row r="59" spans="1:14" ht="15" customHeight="1" hidden="1">
      <c r="A59" s="6" t="s">
        <v>25</v>
      </c>
      <c r="B59" s="12" t="s">
        <v>72</v>
      </c>
      <c r="C59" s="12" t="s">
        <v>66</v>
      </c>
      <c r="D59" s="54" t="e">
        <f>#REF!+#REF!</f>
        <v>#REF!</v>
      </c>
      <c r="E59" s="54"/>
      <c r="F59" s="54"/>
      <c r="H59" s="54" t="e">
        <f>#REF!+#REF!</f>
        <v>#REF!</v>
      </c>
      <c r="J59" s="96" t="e">
        <f>#REF!+#REF!</f>
        <v>#REF!</v>
      </c>
      <c r="K59" s="96" t="e">
        <f>#REF!+#REF!</f>
        <v>#REF!</v>
      </c>
      <c r="L59" s="212" t="e">
        <f>#REF!+#REF!</f>
        <v>#REF!</v>
      </c>
      <c r="M59" s="212" t="e">
        <f>#REF!+#REF!</f>
        <v>#REF!</v>
      </c>
      <c r="N59" s="212" t="e">
        <f>#REF!+#REF!</f>
        <v>#REF!</v>
      </c>
    </row>
    <row r="60" spans="1:14" s="24" customFormat="1" ht="15.75">
      <c r="A60" s="3" t="s">
        <v>35</v>
      </c>
      <c r="B60" s="10" t="s">
        <v>142</v>
      </c>
      <c r="C60" s="10">
        <v>0</v>
      </c>
      <c r="D60" s="77" t="e">
        <f>#REF!+D62+D64</f>
        <v>#REF!</v>
      </c>
      <c r="E60" s="77" t="e">
        <f>#REF!+E62+E64</f>
        <v>#REF!</v>
      </c>
      <c r="F60" s="77"/>
      <c r="H60" s="77" t="e">
        <f>#REF!+H62+H64</f>
        <v>#REF!</v>
      </c>
      <c r="I60" s="77" t="e">
        <f>#REF!+I62+I64</f>
        <v>#REF!</v>
      </c>
      <c r="J60" s="97" t="e">
        <f>#REF!+J62+J64</f>
        <v>#REF!</v>
      </c>
      <c r="K60" s="97" t="e">
        <f>#REF!+K62+K64+K63</f>
        <v>#REF!</v>
      </c>
      <c r="L60" s="231">
        <f>L62+L64+L63+L61</f>
        <v>13379.779</v>
      </c>
      <c r="M60" s="231">
        <f>M62+M64+M63+M61</f>
        <v>13334.697579999998</v>
      </c>
      <c r="N60" s="263">
        <f>M60/L60*100</f>
        <v>99.66306304461379</v>
      </c>
    </row>
    <row r="61" spans="1:14" ht="14.25" customHeight="1">
      <c r="A61" s="4" t="s">
        <v>15</v>
      </c>
      <c r="B61" s="11" t="s">
        <v>142</v>
      </c>
      <c r="C61" s="11" t="s">
        <v>191</v>
      </c>
      <c r="D61" s="54"/>
      <c r="E61" s="54"/>
      <c r="F61" s="54"/>
      <c r="H61" s="54"/>
      <c r="J61" s="96"/>
      <c r="K61" s="96"/>
      <c r="L61" s="212">
        <f>'15 (3)'!M90</f>
        <v>0</v>
      </c>
      <c r="M61" s="212">
        <f>'15 (3)'!N90</f>
        <v>0</v>
      </c>
      <c r="N61" s="212">
        <f>'15 (3)'!O90</f>
        <v>0</v>
      </c>
    </row>
    <row r="62" spans="1:14" ht="15" customHeight="1">
      <c r="A62" s="71" t="s">
        <v>228</v>
      </c>
      <c r="B62" s="11" t="s">
        <v>142</v>
      </c>
      <c r="C62" s="11" t="s">
        <v>222</v>
      </c>
      <c r="D62" s="54">
        <f>'[2]15 (3)'!H96</f>
        <v>1920</v>
      </c>
      <c r="E62" s="54">
        <v>1920</v>
      </c>
      <c r="F62" s="54"/>
      <c r="H62" s="54">
        <f>'15 (3)'!I95</f>
        <v>1920</v>
      </c>
      <c r="I62" s="63">
        <f>H62</f>
        <v>1920</v>
      </c>
      <c r="J62" s="96">
        <f>'15 (3)'!K95</f>
        <v>1920</v>
      </c>
      <c r="K62" s="96">
        <f>'15 (3)'!L95</f>
        <v>2100</v>
      </c>
      <c r="L62" s="212">
        <f>'15 (3)'!M95</f>
        <v>2399</v>
      </c>
      <c r="M62" s="212">
        <f>'15 (3)'!N95</f>
        <v>2434.55863</v>
      </c>
      <c r="N62" s="264">
        <f>M62/L62*100</f>
        <v>101.48222717799082</v>
      </c>
    </row>
    <row r="63" spans="1:14" ht="15.75" customHeight="1">
      <c r="A63" s="4" t="s">
        <v>299</v>
      </c>
      <c r="B63" s="11" t="s">
        <v>142</v>
      </c>
      <c r="C63" s="11" t="s">
        <v>298</v>
      </c>
      <c r="D63" s="11" t="s">
        <v>298</v>
      </c>
      <c r="E63" s="54"/>
      <c r="F63" s="54"/>
      <c r="H63" s="54"/>
      <c r="J63" s="96"/>
      <c r="K63" s="96">
        <f>'15 (3)'!L101</f>
        <v>700</v>
      </c>
      <c r="L63" s="212">
        <f>'15 (3)'!M101</f>
        <v>10980.779</v>
      </c>
      <c r="M63" s="212">
        <f>'15 (3)'!N101</f>
        <v>10900.138949999999</v>
      </c>
      <c r="N63" s="264">
        <f>M63/L63*100</f>
        <v>99.26562541692168</v>
      </c>
    </row>
    <row r="64" spans="1:14" ht="14.25" customHeight="1" hidden="1">
      <c r="A64" s="5" t="s">
        <v>46</v>
      </c>
      <c r="B64" s="11" t="s">
        <v>142</v>
      </c>
      <c r="C64" s="11" t="s">
        <v>172</v>
      </c>
      <c r="D64" s="54">
        <f>'[2]15 (3)'!H101</f>
        <v>460.76</v>
      </c>
      <c r="E64" s="54">
        <v>495.76</v>
      </c>
      <c r="F64" s="54"/>
      <c r="H64" s="54" t="e">
        <f>'15 (3)'!I122</f>
        <v>#REF!</v>
      </c>
      <c r="I64" s="63" t="e">
        <f>H64</f>
        <v>#REF!</v>
      </c>
      <c r="J64" s="96" t="e">
        <f>'15 (3)'!K122</f>
        <v>#REF!</v>
      </c>
      <c r="K64" s="96" t="e">
        <f>'15 (3)'!#REF!</f>
        <v>#REF!</v>
      </c>
      <c r="L64" s="212"/>
      <c r="M64" s="212"/>
      <c r="N64" s="212"/>
    </row>
    <row r="65" spans="1:14" s="87" customFormat="1" ht="15.75">
      <c r="A65" s="91" t="s">
        <v>150</v>
      </c>
      <c r="B65" s="89" t="s">
        <v>143</v>
      </c>
      <c r="C65" s="89"/>
      <c r="D65" s="92">
        <f>D66+D68+D67</f>
        <v>17059.289</v>
      </c>
      <c r="E65" s="92">
        <f>E66+E67+E68</f>
        <v>17666.621</v>
      </c>
      <c r="F65" s="92"/>
      <c r="H65" s="92" t="e">
        <f aca="true" t="shared" si="2" ref="H65:N65">H66+H68+H67</f>
        <v>#REF!</v>
      </c>
      <c r="I65" s="92" t="e">
        <f t="shared" si="2"/>
        <v>#REF!</v>
      </c>
      <c r="J65" s="98" t="e">
        <f t="shared" si="2"/>
        <v>#REF!</v>
      </c>
      <c r="K65" s="98" t="e">
        <f t="shared" si="2"/>
        <v>#REF!</v>
      </c>
      <c r="L65" s="230">
        <f t="shared" si="2"/>
        <v>15455.920999999998</v>
      </c>
      <c r="M65" s="230">
        <f t="shared" si="2"/>
        <v>16155.83152</v>
      </c>
      <c r="N65" s="263">
        <f>M65/L65*100</f>
        <v>104.52842971958773</v>
      </c>
    </row>
    <row r="66" spans="1:14" ht="14.25">
      <c r="A66" s="85" t="s">
        <v>208</v>
      </c>
      <c r="B66" s="11" t="s">
        <v>143</v>
      </c>
      <c r="C66" s="11" t="s">
        <v>190</v>
      </c>
      <c r="D66" s="54">
        <f>'[2]15 (3)'!H113</f>
        <v>12782.533</v>
      </c>
      <c r="E66" s="54">
        <v>12782.533</v>
      </c>
      <c r="F66" s="54"/>
      <c r="H66" s="54" t="e">
        <f>'15 (3)'!I124</f>
        <v>#REF!</v>
      </c>
      <c r="I66" s="63" t="e">
        <f>H66</f>
        <v>#REF!</v>
      </c>
      <c r="J66" s="96" t="e">
        <f>'15 (3)'!K124</f>
        <v>#REF!</v>
      </c>
      <c r="K66" s="96">
        <f>'15 (3)'!L124</f>
        <v>350.155</v>
      </c>
      <c r="L66" s="212">
        <f>'15 (3)'!M124</f>
        <v>0</v>
      </c>
      <c r="M66" s="212">
        <f>'15 (3)'!N124</f>
        <v>0</v>
      </c>
      <c r="N66" s="212">
        <f>'15 (3)'!O124</f>
        <v>0</v>
      </c>
    </row>
    <row r="67" spans="1:14" ht="14.25">
      <c r="A67" s="6" t="s">
        <v>207</v>
      </c>
      <c r="B67" s="11" t="s">
        <v>143</v>
      </c>
      <c r="C67" s="11" t="s">
        <v>206</v>
      </c>
      <c r="D67" s="54">
        <f>'[2]15 (3)'!H123</f>
        <v>2676.7560000000003</v>
      </c>
      <c r="E67" s="54">
        <v>3284.088</v>
      </c>
      <c r="F67" s="54"/>
      <c r="H67" s="54" t="e">
        <f>'15 (3)'!I130</f>
        <v>#REF!</v>
      </c>
      <c r="I67" s="63" t="e">
        <f>H67</f>
        <v>#REF!</v>
      </c>
      <c r="J67" s="96" t="e">
        <f>'15 (3)'!K130</f>
        <v>#REF!</v>
      </c>
      <c r="K67" s="96" t="e">
        <f>'15 (3)'!L130</f>
        <v>#REF!</v>
      </c>
      <c r="L67" s="212">
        <f>'15 (3)'!M130</f>
        <v>15455.920999999998</v>
      </c>
      <c r="M67" s="212">
        <f>'15 (3)'!N130</f>
        <v>16155.83152</v>
      </c>
      <c r="N67" s="264">
        <f>M67/L67*100</f>
        <v>104.52842971958773</v>
      </c>
    </row>
    <row r="68" spans="1:14" ht="14.25">
      <c r="A68" s="5" t="s">
        <v>205</v>
      </c>
      <c r="B68" s="122" t="s">
        <v>143</v>
      </c>
      <c r="C68" s="122" t="s">
        <v>204</v>
      </c>
      <c r="D68" s="54">
        <f>'[2]15 (3)'!H139</f>
        <v>1600</v>
      </c>
      <c r="E68" s="54">
        <v>1600</v>
      </c>
      <c r="F68" s="54"/>
      <c r="H68" s="54" t="e">
        <f>'15 (3)'!#REF!</f>
        <v>#REF!</v>
      </c>
      <c r="I68" s="63" t="e">
        <f>H68</f>
        <v>#REF!</v>
      </c>
      <c r="J68" s="96" t="e">
        <f>'15 (3)'!#REF!</f>
        <v>#REF!</v>
      </c>
      <c r="K68" s="96"/>
      <c r="L68" s="212"/>
      <c r="M68" s="212"/>
      <c r="N68" s="212"/>
    </row>
    <row r="69" spans="1:14" s="87" customFormat="1" ht="15.75">
      <c r="A69" s="88" t="s">
        <v>48</v>
      </c>
      <c r="B69" s="89" t="s">
        <v>144</v>
      </c>
      <c r="C69" s="89"/>
      <c r="D69" s="92">
        <f>D70</f>
        <v>500</v>
      </c>
      <c r="E69" s="92">
        <f>E70</f>
        <v>500</v>
      </c>
      <c r="F69" s="92"/>
      <c r="H69" s="92">
        <f aca="true" t="shared" si="3" ref="H69:N69">H70</f>
        <v>50</v>
      </c>
      <c r="I69" s="92">
        <f t="shared" si="3"/>
        <v>50</v>
      </c>
      <c r="J69" s="98">
        <f t="shared" si="3"/>
        <v>50</v>
      </c>
      <c r="K69" s="98">
        <f t="shared" si="3"/>
        <v>500</v>
      </c>
      <c r="L69" s="230">
        <f t="shared" si="3"/>
        <v>441.438</v>
      </c>
      <c r="M69" s="230">
        <f t="shared" si="3"/>
        <v>441.438</v>
      </c>
      <c r="N69" s="263">
        <f>M69/L69*100</f>
        <v>100</v>
      </c>
    </row>
    <row r="70" spans="1:14" ht="14.25">
      <c r="A70" s="105" t="s">
        <v>307</v>
      </c>
      <c r="B70" s="11" t="s">
        <v>144</v>
      </c>
      <c r="C70" s="11" t="s">
        <v>305</v>
      </c>
      <c r="D70" s="54">
        <f>'[2]15 (3)'!H149</f>
        <v>500</v>
      </c>
      <c r="E70" s="54">
        <v>500</v>
      </c>
      <c r="F70" s="54"/>
      <c r="H70" s="54">
        <f>'15 (3)'!I154</f>
        <v>50</v>
      </c>
      <c r="I70" s="63">
        <f>H70</f>
        <v>50</v>
      </c>
      <c r="J70" s="96">
        <f>'15 (3)'!K154</f>
        <v>50</v>
      </c>
      <c r="K70" s="96">
        <f>'15 (3)'!L154</f>
        <v>500</v>
      </c>
      <c r="L70" s="212">
        <f>'15 (3)'!M154</f>
        <v>441.438</v>
      </c>
      <c r="M70" s="212">
        <f>'15 (3)'!N154</f>
        <v>441.438</v>
      </c>
      <c r="N70" s="264">
        <f>M70/L70*100</f>
        <v>100</v>
      </c>
    </row>
    <row r="71" spans="1:14" ht="15" customHeight="1" hidden="1">
      <c r="A71" s="5" t="s">
        <v>49</v>
      </c>
      <c r="B71" s="12" t="s">
        <v>77</v>
      </c>
      <c r="C71" s="12" t="s">
        <v>72</v>
      </c>
      <c r="D71" s="54" t="e">
        <f>#REF!+#REF!</f>
        <v>#REF!</v>
      </c>
      <c r="E71" s="54"/>
      <c r="F71" s="54"/>
      <c r="H71" s="54" t="e">
        <f>#REF!+#REF!</f>
        <v>#REF!</v>
      </c>
      <c r="J71" s="96" t="e">
        <f>#REF!+#REF!</f>
        <v>#REF!</v>
      </c>
      <c r="K71" s="96" t="e">
        <f>#REF!+#REF!</f>
        <v>#REF!</v>
      </c>
      <c r="L71" s="212" t="e">
        <f>#REF!+#REF!</f>
        <v>#REF!</v>
      </c>
      <c r="M71" s="212" t="e">
        <f>#REF!+#REF!</f>
        <v>#REF!</v>
      </c>
      <c r="N71" s="212" t="e">
        <f>#REF!+#REF!</f>
        <v>#REF!</v>
      </c>
    </row>
    <row r="72" spans="1:14" ht="15" customHeight="1" hidden="1">
      <c r="A72" s="6" t="s">
        <v>50</v>
      </c>
      <c r="B72" s="12" t="s">
        <v>77</v>
      </c>
      <c r="C72" s="12" t="s">
        <v>72</v>
      </c>
      <c r="D72" s="54" t="e">
        <f>#REF!+#REF!</f>
        <v>#REF!</v>
      </c>
      <c r="E72" s="54"/>
      <c r="F72" s="54"/>
      <c r="H72" s="54" t="e">
        <f>#REF!+#REF!</f>
        <v>#REF!</v>
      </c>
      <c r="J72" s="96" t="e">
        <f>#REF!+#REF!</f>
        <v>#REF!</v>
      </c>
      <c r="K72" s="96" t="e">
        <f>#REF!+#REF!</f>
        <v>#REF!</v>
      </c>
      <c r="L72" s="212" t="e">
        <f>#REF!+#REF!</f>
        <v>#REF!</v>
      </c>
      <c r="M72" s="212" t="e">
        <f>#REF!+#REF!</f>
        <v>#REF!</v>
      </c>
      <c r="N72" s="212" t="e">
        <f>#REF!+#REF!</f>
        <v>#REF!</v>
      </c>
    </row>
    <row r="73" spans="1:14" ht="15" customHeight="1" hidden="1">
      <c r="A73" s="6" t="s">
        <v>25</v>
      </c>
      <c r="B73" s="12" t="s">
        <v>77</v>
      </c>
      <c r="C73" s="12" t="s">
        <v>72</v>
      </c>
      <c r="D73" s="54" t="e">
        <f>#REF!+#REF!</f>
        <v>#REF!</v>
      </c>
      <c r="E73" s="54"/>
      <c r="F73" s="54"/>
      <c r="H73" s="54" t="e">
        <f>#REF!+#REF!</f>
        <v>#REF!</v>
      </c>
      <c r="J73" s="96" t="e">
        <f>#REF!+#REF!</f>
        <v>#REF!</v>
      </c>
      <c r="K73" s="96" t="e">
        <f>#REF!+#REF!</f>
        <v>#REF!</v>
      </c>
      <c r="L73" s="212" t="e">
        <f>#REF!+#REF!</f>
        <v>#REF!</v>
      </c>
      <c r="M73" s="212" t="e">
        <f>#REF!+#REF!</f>
        <v>#REF!</v>
      </c>
      <c r="N73" s="212" t="e">
        <f>#REF!+#REF!</f>
        <v>#REF!</v>
      </c>
    </row>
    <row r="74" spans="1:14" s="87" customFormat="1" ht="15.75">
      <c r="A74" s="88" t="s">
        <v>47</v>
      </c>
      <c r="B74" s="89" t="s">
        <v>145</v>
      </c>
      <c r="C74" s="89">
        <v>0</v>
      </c>
      <c r="D74" s="90">
        <f>D75+D79+D88+D95</f>
        <v>120618.8</v>
      </c>
      <c r="E74" s="90">
        <f>E75+E79+E88+E95</f>
        <v>120335.1</v>
      </c>
      <c r="F74" s="90"/>
      <c r="H74" s="90" t="e">
        <f aca="true" t="shared" si="4" ref="H74:N74">H75+H79+H88+H95</f>
        <v>#REF!</v>
      </c>
      <c r="I74" s="90" t="e">
        <f t="shared" si="4"/>
        <v>#REF!</v>
      </c>
      <c r="J74" s="95" t="e">
        <f t="shared" si="4"/>
        <v>#REF!</v>
      </c>
      <c r="K74" s="95" t="e">
        <f t="shared" si="4"/>
        <v>#REF!</v>
      </c>
      <c r="L74" s="229">
        <f t="shared" si="4"/>
        <v>209621.26612999997</v>
      </c>
      <c r="M74" s="229">
        <f t="shared" si="4"/>
        <v>209594.75755</v>
      </c>
      <c r="N74" s="263">
        <f>M74/L74*100</f>
        <v>99.98735405978154</v>
      </c>
    </row>
    <row r="75" spans="1:14" ht="14.25">
      <c r="A75" s="4" t="s">
        <v>112</v>
      </c>
      <c r="B75" s="11" t="s">
        <v>145</v>
      </c>
      <c r="C75" s="11" t="s">
        <v>177</v>
      </c>
      <c r="D75" s="54">
        <f>'[2]15 (3)'!H155</f>
        <v>5956.3</v>
      </c>
      <c r="E75" s="54">
        <v>5807.3</v>
      </c>
      <c r="F75" s="54"/>
      <c r="H75" s="54" t="e">
        <f>'15 (3)'!I160</f>
        <v>#REF!</v>
      </c>
      <c r="I75" s="63" t="e">
        <f>H75</f>
        <v>#REF!</v>
      </c>
      <c r="J75" s="96" t="e">
        <f>'15 (3)'!K160</f>
        <v>#REF!</v>
      </c>
      <c r="K75" s="96">
        <f>'15 (3)'!L160</f>
        <v>8026.700000000001</v>
      </c>
      <c r="L75" s="212">
        <f>'15 (3)'!M160</f>
        <v>60055.031</v>
      </c>
      <c r="M75" s="212">
        <f>'15 (3)'!N160</f>
        <v>60031.528000000006</v>
      </c>
      <c r="N75" s="264">
        <f aca="true" t="shared" si="5" ref="N75:N95">M75/L75*100</f>
        <v>99.96086422801115</v>
      </c>
    </row>
    <row r="76" spans="1:14" ht="15" customHeight="1" hidden="1">
      <c r="A76" s="5" t="s">
        <v>115</v>
      </c>
      <c r="B76" s="12" t="s">
        <v>78</v>
      </c>
      <c r="C76" s="12" t="s">
        <v>71</v>
      </c>
      <c r="D76" s="54" t="e">
        <f>#REF!+#REF!</f>
        <v>#REF!</v>
      </c>
      <c r="E76" s="54"/>
      <c r="F76" s="54"/>
      <c r="H76" s="54" t="e">
        <f>#REF!+#REF!</f>
        <v>#REF!</v>
      </c>
      <c r="J76" s="96" t="e">
        <f>#REF!+#REF!</f>
        <v>#REF!</v>
      </c>
      <c r="K76" s="96" t="e">
        <f>#REF!+#REF!</f>
        <v>#REF!</v>
      </c>
      <c r="L76" s="212" t="e">
        <f>#REF!+#REF!</f>
        <v>#REF!</v>
      </c>
      <c r="M76" s="212" t="e">
        <f>#REF!+#REF!</f>
        <v>#REF!</v>
      </c>
      <c r="N76" s="264" t="e">
        <f t="shared" si="5"/>
        <v>#REF!</v>
      </c>
    </row>
    <row r="77" spans="1:14" ht="25.5" customHeight="1" hidden="1">
      <c r="A77" s="5" t="s">
        <v>63</v>
      </c>
      <c r="B77" s="12" t="s">
        <v>78</v>
      </c>
      <c r="C77" s="12" t="s">
        <v>71</v>
      </c>
      <c r="D77" s="54" t="e">
        <f>#REF!+#REF!</f>
        <v>#REF!</v>
      </c>
      <c r="E77" s="54"/>
      <c r="F77" s="54"/>
      <c r="H77" s="54" t="e">
        <f>#REF!+#REF!</f>
        <v>#REF!</v>
      </c>
      <c r="J77" s="96" t="e">
        <f>#REF!+#REF!</f>
        <v>#REF!</v>
      </c>
      <c r="K77" s="96" t="e">
        <f>#REF!+#REF!</f>
        <v>#REF!</v>
      </c>
      <c r="L77" s="212" t="e">
        <f>#REF!+#REF!</f>
        <v>#REF!</v>
      </c>
      <c r="M77" s="212" t="e">
        <f>#REF!+#REF!</f>
        <v>#REF!</v>
      </c>
      <c r="N77" s="264" t="e">
        <f t="shared" si="5"/>
        <v>#REF!</v>
      </c>
    </row>
    <row r="78" spans="1:14" ht="15" customHeight="1" hidden="1">
      <c r="A78" s="6" t="s">
        <v>51</v>
      </c>
      <c r="B78" s="12" t="s">
        <v>78</v>
      </c>
      <c r="C78" s="12" t="s">
        <v>71</v>
      </c>
      <c r="D78" s="54" t="e">
        <f>#REF!+#REF!</f>
        <v>#REF!</v>
      </c>
      <c r="E78" s="54"/>
      <c r="F78" s="54"/>
      <c r="H78" s="54" t="e">
        <f>#REF!+#REF!</f>
        <v>#REF!</v>
      </c>
      <c r="J78" s="96" t="e">
        <f>#REF!+#REF!</f>
        <v>#REF!</v>
      </c>
      <c r="K78" s="96" t="e">
        <f>#REF!+#REF!</f>
        <v>#REF!</v>
      </c>
      <c r="L78" s="212" t="e">
        <f>#REF!+#REF!</f>
        <v>#REF!</v>
      </c>
      <c r="M78" s="212" t="e">
        <f>#REF!+#REF!</f>
        <v>#REF!</v>
      </c>
      <c r="N78" s="264" t="e">
        <f t="shared" si="5"/>
        <v>#REF!</v>
      </c>
    </row>
    <row r="79" spans="1:14" ht="14.25">
      <c r="A79" s="4" t="s">
        <v>3</v>
      </c>
      <c r="B79" s="11" t="s">
        <v>145</v>
      </c>
      <c r="C79" s="11" t="s">
        <v>178</v>
      </c>
      <c r="D79" s="54">
        <f>'[2]15 (3)'!H163</f>
        <v>109570.1</v>
      </c>
      <c r="E79" s="54">
        <v>109289.1</v>
      </c>
      <c r="F79" s="54"/>
      <c r="H79" s="54" t="e">
        <f>'15 (3)'!I187</f>
        <v>#REF!</v>
      </c>
      <c r="I79" s="63" t="e">
        <f>H79-'15 (3)'!I212-'15 (3)'!#REF!</f>
        <v>#REF!</v>
      </c>
      <c r="J79" s="96" t="e">
        <f>'15 (3)'!K187</f>
        <v>#REF!</v>
      </c>
      <c r="K79" s="96" t="e">
        <f>'15 (3)'!L187</f>
        <v>#REF!</v>
      </c>
      <c r="L79" s="212">
        <f>'15 (3)'!M187</f>
        <v>133714.32012999998</v>
      </c>
      <c r="M79" s="212">
        <f>'15 (3)'!N187</f>
        <v>133713.94553</v>
      </c>
      <c r="N79" s="264">
        <f t="shared" si="5"/>
        <v>99.99971985049947</v>
      </c>
    </row>
    <row r="80" spans="1:14" ht="25.5" customHeight="1" hidden="1">
      <c r="A80" s="5" t="s">
        <v>59</v>
      </c>
      <c r="B80" s="12" t="s">
        <v>78</v>
      </c>
      <c r="C80" s="12" t="s">
        <v>66</v>
      </c>
      <c r="D80" s="54" t="e">
        <f>#REF!+#REF!</f>
        <v>#REF!</v>
      </c>
      <c r="E80" s="54"/>
      <c r="F80" s="54"/>
      <c r="H80" s="54" t="e">
        <f>#REF!+#REF!</f>
        <v>#REF!</v>
      </c>
      <c r="J80" s="96" t="e">
        <f>#REF!+#REF!</f>
        <v>#REF!</v>
      </c>
      <c r="K80" s="96" t="e">
        <f>#REF!+#REF!</f>
        <v>#REF!</v>
      </c>
      <c r="L80" s="212" t="e">
        <f>#REF!+#REF!</f>
        <v>#REF!</v>
      </c>
      <c r="M80" s="212" t="e">
        <f>#REF!+#REF!</f>
        <v>#REF!</v>
      </c>
      <c r="N80" s="264" t="e">
        <f t="shared" si="5"/>
        <v>#REF!</v>
      </c>
    </row>
    <row r="81" spans="1:14" ht="25.5" customHeight="1" hidden="1">
      <c r="A81" s="5" t="s">
        <v>63</v>
      </c>
      <c r="B81" s="12" t="s">
        <v>78</v>
      </c>
      <c r="C81" s="12" t="s">
        <v>66</v>
      </c>
      <c r="D81" s="54" t="e">
        <f>#REF!+#REF!</f>
        <v>#REF!</v>
      </c>
      <c r="E81" s="54"/>
      <c r="F81" s="54"/>
      <c r="H81" s="54" t="e">
        <f>#REF!+#REF!</f>
        <v>#REF!</v>
      </c>
      <c r="J81" s="96" t="e">
        <f>#REF!+#REF!</f>
        <v>#REF!</v>
      </c>
      <c r="K81" s="96" t="e">
        <f>#REF!+#REF!</f>
        <v>#REF!</v>
      </c>
      <c r="L81" s="212" t="e">
        <f>#REF!+#REF!</f>
        <v>#REF!</v>
      </c>
      <c r="M81" s="212" t="e">
        <f>#REF!+#REF!</f>
        <v>#REF!</v>
      </c>
      <c r="N81" s="264" t="e">
        <f t="shared" si="5"/>
        <v>#REF!</v>
      </c>
    </row>
    <row r="82" spans="1:14" ht="15" customHeight="1" hidden="1">
      <c r="A82" s="6" t="s">
        <v>51</v>
      </c>
      <c r="B82" s="13" t="s">
        <v>78</v>
      </c>
      <c r="C82" s="13" t="s">
        <v>66</v>
      </c>
      <c r="D82" s="54" t="e">
        <f>#REF!+#REF!</f>
        <v>#REF!</v>
      </c>
      <c r="E82" s="54"/>
      <c r="F82" s="54"/>
      <c r="H82" s="54" t="e">
        <f>#REF!+#REF!</f>
        <v>#REF!</v>
      </c>
      <c r="J82" s="96" t="e">
        <f>#REF!+#REF!</f>
        <v>#REF!</v>
      </c>
      <c r="K82" s="96" t="e">
        <f>#REF!+#REF!</f>
        <v>#REF!</v>
      </c>
      <c r="L82" s="212" t="e">
        <f>#REF!+#REF!</f>
        <v>#REF!</v>
      </c>
      <c r="M82" s="212" t="e">
        <f>#REF!+#REF!</f>
        <v>#REF!</v>
      </c>
      <c r="N82" s="264" t="e">
        <f t="shared" si="5"/>
        <v>#REF!</v>
      </c>
    </row>
    <row r="83" spans="1:14" ht="15" customHeight="1" hidden="1">
      <c r="A83" s="5" t="s">
        <v>4</v>
      </c>
      <c r="B83" s="12" t="s">
        <v>78</v>
      </c>
      <c r="C83" s="12" t="s">
        <v>66</v>
      </c>
      <c r="D83" s="54" t="e">
        <f>#REF!+#REF!</f>
        <v>#REF!</v>
      </c>
      <c r="E83" s="54"/>
      <c r="F83" s="54"/>
      <c r="H83" s="54" t="e">
        <f>#REF!+#REF!</f>
        <v>#REF!</v>
      </c>
      <c r="J83" s="96" t="e">
        <f>#REF!+#REF!</f>
        <v>#REF!</v>
      </c>
      <c r="K83" s="96" t="e">
        <f>#REF!+#REF!</f>
        <v>#REF!</v>
      </c>
      <c r="L83" s="212" t="e">
        <f>#REF!+#REF!</f>
        <v>#REF!</v>
      </c>
      <c r="M83" s="212" t="e">
        <f>#REF!+#REF!</f>
        <v>#REF!</v>
      </c>
      <c r="N83" s="264" t="e">
        <f t="shared" si="5"/>
        <v>#REF!</v>
      </c>
    </row>
    <row r="84" spans="1:14" ht="25.5" customHeight="1" hidden="1">
      <c r="A84" s="5" t="s">
        <v>63</v>
      </c>
      <c r="B84" s="12" t="s">
        <v>78</v>
      </c>
      <c r="C84" s="12" t="s">
        <v>66</v>
      </c>
      <c r="D84" s="54" t="e">
        <f>#REF!+#REF!</f>
        <v>#REF!</v>
      </c>
      <c r="E84" s="54"/>
      <c r="F84" s="54"/>
      <c r="H84" s="54" t="e">
        <f>#REF!+#REF!</f>
        <v>#REF!</v>
      </c>
      <c r="J84" s="96" t="e">
        <f>#REF!+#REF!</f>
        <v>#REF!</v>
      </c>
      <c r="K84" s="96" t="e">
        <f>#REF!+#REF!</f>
        <v>#REF!</v>
      </c>
      <c r="L84" s="212" t="e">
        <f>#REF!+#REF!</f>
        <v>#REF!</v>
      </c>
      <c r="M84" s="212" t="e">
        <f>#REF!+#REF!</f>
        <v>#REF!</v>
      </c>
      <c r="N84" s="264" t="e">
        <f t="shared" si="5"/>
        <v>#REF!</v>
      </c>
    </row>
    <row r="85" spans="1:14" ht="15" customHeight="1" hidden="1">
      <c r="A85" s="6" t="s">
        <v>51</v>
      </c>
      <c r="B85" s="13" t="s">
        <v>78</v>
      </c>
      <c r="C85" s="13" t="s">
        <v>66</v>
      </c>
      <c r="D85" s="54" t="e">
        <f>#REF!+#REF!</f>
        <v>#REF!</v>
      </c>
      <c r="E85" s="54"/>
      <c r="F85" s="54"/>
      <c r="H85" s="54" t="e">
        <f>#REF!+#REF!</f>
        <v>#REF!</v>
      </c>
      <c r="J85" s="96" t="e">
        <f>#REF!+#REF!</f>
        <v>#REF!</v>
      </c>
      <c r="K85" s="96" t="e">
        <f>#REF!+#REF!</f>
        <v>#REF!</v>
      </c>
      <c r="L85" s="212" t="e">
        <f>#REF!+#REF!</f>
        <v>#REF!</v>
      </c>
      <c r="M85" s="212" t="e">
        <f>#REF!+#REF!</f>
        <v>#REF!</v>
      </c>
      <c r="N85" s="264" t="e">
        <f t="shared" si="5"/>
        <v>#REF!</v>
      </c>
    </row>
    <row r="86" spans="1:14" ht="15" customHeight="1" hidden="1">
      <c r="A86" s="5" t="s">
        <v>5</v>
      </c>
      <c r="B86" s="12" t="s">
        <v>78</v>
      </c>
      <c r="C86" s="12" t="s">
        <v>66</v>
      </c>
      <c r="D86" s="54" t="e">
        <f>#REF!+#REF!</f>
        <v>#REF!</v>
      </c>
      <c r="E86" s="54"/>
      <c r="F86" s="54"/>
      <c r="H86" s="54" t="e">
        <f>#REF!+#REF!</f>
        <v>#REF!</v>
      </c>
      <c r="J86" s="96" t="e">
        <f>#REF!+#REF!</f>
        <v>#REF!</v>
      </c>
      <c r="K86" s="96" t="e">
        <f>#REF!+#REF!</f>
        <v>#REF!</v>
      </c>
      <c r="L86" s="212" t="e">
        <f>#REF!+#REF!</f>
        <v>#REF!</v>
      </c>
      <c r="M86" s="212" t="e">
        <f>#REF!+#REF!</f>
        <v>#REF!</v>
      </c>
      <c r="N86" s="264" t="e">
        <f t="shared" si="5"/>
        <v>#REF!</v>
      </c>
    </row>
    <row r="87" spans="1:14" ht="25.5" customHeight="1" hidden="1">
      <c r="A87" s="5" t="s">
        <v>90</v>
      </c>
      <c r="B87" s="12" t="s">
        <v>78</v>
      </c>
      <c r="C87" s="12" t="s">
        <v>66</v>
      </c>
      <c r="D87" s="54" t="e">
        <f>#REF!+#REF!</f>
        <v>#REF!</v>
      </c>
      <c r="E87" s="54"/>
      <c r="F87" s="54"/>
      <c r="H87" s="54" t="e">
        <f>#REF!+#REF!</f>
        <v>#REF!</v>
      </c>
      <c r="J87" s="96" t="e">
        <f>#REF!+#REF!</f>
        <v>#REF!</v>
      </c>
      <c r="K87" s="96" t="e">
        <f>#REF!+#REF!</f>
        <v>#REF!</v>
      </c>
      <c r="L87" s="212" t="e">
        <f>#REF!+#REF!</f>
        <v>#REF!</v>
      </c>
      <c r="M87" s="212" t="e">
        <f>#REF!+#REF!</f>
        <v>#REF!</v>
      </c>
      <c r="N87" s="264" t="e">
        <f t="shared" si="5"/>
        <v>#REF!</v>
      </c>
    </row>
    <row r="88" spans="1:14" ht="14.25">
      <c r="A88" s="4" t="s">
        <v>67</v>
      </c>
      <c r="B88" s="11" t="s">
        <v>145</v>
      </c>
      <c r="C88" s="11" t="s">
        <v>173</v>
      </c>
      <c r="D88" s="54">
        <f>'[2]15 (3)'!H207</f>
        <v>703</v>
      </c>
      <c r="E88" s="54">
        <v>849.3</v>
      </c>
      <c r="F88" s="54"/>
      <c r="H88" s="54" t="e">
        <f>'15 (3)'!I232</f>
        <v>#REF!</v>
      </c>
      <c r="I88" s="63" t="e">
        <f>H88</f>
        <v>#REF!</v>
      </c>
      <c r="J88" s="96" t="e">
        <f>'15 (3)'!K232</f>
        <v>#REF!</v>
      </c>
      <c r="K88" s="96" t="e">
        <f>'15 (3)'!L232</f>
        <v>#REF!</v>
      </c>
      <c r="L88" s="212">
        <f>'15 (3)'!M232</f>
        <v>1434.5</v>
      </c>
      <c r="M88" s="212">
        <f>'15 (3)'!N232</f>
        <v>1431.87</v>
      </c>
      <c r="N88" s="264">
        <f t="shared" si="5"/>
        <v>99.8166608574416</v>
      </c>
    </row>
    <row r="89" spans="1:14" ht="15" customHeight="1" hidden="1">
      <c r="A89" s="5" t="s">
        <v>124</v>
      </c>
      <c r="B89" s="12" t="s">
        <v>78</v>
      </c>
      <c r="C89" s="12" t="s">
        <v>78</v>
      </c>
      <c r="D89" s="54" t="e">
        <f>#REF!+#REF!</f>
        <v>#REF!</v>
      </c>
      <c r="E89" s="54"/>
      <c r="F89" s="54"/>
      <c r="H89" s="54" t="e">
        <f>#REF!+#REF!</f>
        <v>#REF!</v>
      </c>
      <c r="J89" s="96" t="e">
        <f>#REF!+#REF!</f>
        <v>#REF!</v>
      </c>
      <c r="K89" s="96" t="e">
        <f>#REF!+#REF!</f>
        <v>#REF!</v>
      </c>
      <c r="L89" s="212" t="e">
        <f>#REF!+#REF!</f>
        <v>#REF!</v>
      </c>
      <c r="M89" s="212" t="e">
        <f>#REF!+#REF!</f>
        <v>#REF!</v>
      </c>
      <c r="N89" s="264" t="e">
        <f t="shared" si="5"/>
        <v>#REF!</v>
      </c>
    </row>
    <row r="90" spans="1:14" ht="15" customHeight="1" hidden="1">
      <c r="A90" s="6" t="s">
        <v>125</v>
      </c>
      <c r="B90" s="12" t="s">
        <v>78</v>
      </c>
      <c r="C90" s="12" t="s">
        <v>78</v>
      </c>
      <c r="D90" s="54" t="e">
        <f>#REF!+#REF!</f>
        <v>#REF!</v>
      </c>
      <c r="E90" s="54"/>
      <c r="F90" s="54"/>
      <c r="H90" s="54" t="e">
        <f>#REF!+#REF!</f>
        <v>#REF!</v>
      </c>
      <c r="J90" s="96" t="e">
        <f>#REF!+#REF!</f>
        <v>#REF!</v>
      </c>
      <c r="K90" s="96" t="e">
        <f>#REF!+#REF!</f>
        <v>#REF!</v>
      </c>
      <c r="L90" s="212" t="e">
        <f>#REF!+#REF!</f>
        <v>#REF!</v>
      </c>
      <c r="M90" s="212" t="e">
        <f>#REF!+#REF!</f>
        <v>#REF!</v>
      </c>
      <c r="N90" s="264" t="e">
        <f t="shared" si="5"/>
        <v>#REF!</v>
      </c>
    </row>
    <row r="91" spans="1:14" ht="15" customHeight="1" hidden="1">
      <c r="A91" s="6" t="s">
        <v>51</v>
      </c>
      <c r="B91" s="12" t="s">
        <v>78</v>
      </c>
      <c r="C91" s="12" t="s">
        <v>78</v>
      </c>
      <c r="D91" s="54" t="e">
        <f>#REF!+#REF!</f>
        <v>#REF!</v>
      </c>
      <c r="E91" s="54"/>
      <c r="F91" s="54"/>
      <c r="H91" s="54" t="e">
        <f>#REF!+#REF!</f>
        <v>#REF!</v>
      </c>
      <c r="J91" s="96" t="e">
        <f>#REF!+#REF!</f>
        <v>#REF!</v>
      </c>
      <c r="K91" s="96" t="e">
        <f>#REF!+#REF!</f>
        <v>#REF!</v>
      </c>
      <c r="L91" s="212" t="e">
        <f>#REF!+#REF!</f>
        <v>#REF!</v>
      </c>
      <c r="M91" s="212" t="e">
        <f>#REF!+#REF!</f>
        <v>#REF!</v>
      </c>
      <c r="N91" s="264" t="e">
        <f t="shared" si="5"/>
        <v>#REF!</v>
      </c>
    </row>
    <row r="92" spans="1:14" ht="25.5" customHeight="1" hidden="1">
      <c r="A92" s="5" t="s">
        <v>7</v>
      </c>
      <c r="B92" s="12" t="s">
        <v>78</v>
      </c>
      <c r="C92" s="12" t="s">
        <v>78</v>
      </c>
      <c r="D92" s="54" t="e">
        <f>#REF!+#REF!</f>
        <v>#REF!</v>
      </c>
      <c r="E92" s="54"/>
      <c r="F92" s="54"/>
      <c r="H92" s="54" t="e">
        <f>#REF!+#REF!</f>
        <v>#REF!</v>
      </c>
      <c r="J92" s="96" t="e">
        <f>#REF!+#REF!</f>
        <v>#REF!</v>
      </c>
      <c r="K92" s="96" t="e">
        <f>#REF!+#REF!</f>
        <v>#REF!</v>
      </c>
      <c r="L92" s="212" t="e">
        <f>#REF!+#REF!</f>
        <v>#REF!</v>
      </c>
      <c r="M92" s="212" t="e">
        <f>#REF!+#REF!</f>
        <v>#REF!</v>
      </c>
      <c r="N92" s="264" t="e">
        <f t="shared" si="5"/>
        <v>#REF!</v>
      </c>
    </row>
    <row r="93" spans="1:14" ht="15" customHeight="1" hidden="1">
      <c r="A93" s="5" t="s">
        <v>116</v>
      </c>
      <c r="B93" s="12" t="s">
        <v>78</v>
      </c>
      <c r="C93" s="12" t="s">
        <v>78</v>
      </c>
      <c r="D93" s="54" t="e">
        <f>#REF!+#REF!</f>
        <v>#REF!</v>
      </c>
      <c r="E93" s="54"/>
      <c r="F93" s="54"/>
      <c r="H93" s="54" t="e">
        <f>#REF!+#REF!</f>
        <v>#REF!</v>
      </c>
      <c r="J93" s="96" t="e">
        <f>#REF!+#REF!</f>
        <v>#REF!</v>
      </c>
      <c r="K93" s="96" t="e">
        <f>#REF!+#REF!</f>
        <v>#REF!</v>
      </c>
      <c r="L93" s="212" t="e">
        <f>#REF!+#REF!</f>
        <v>#REF!</v>
      </c>
      <c r="M93" s="212" t="e">
        <f>#REF!+#REF!</f>
        <v>#REF!</v>
      </c>
      <c r="N93" s="264" t="e">
        <f t="shared" si="5"/>
        <v>#REF!</v>
      </c>
    </row>
    <row r="94" spans="1:14" ht="15" customHeight="1" hidden="1">
      <c r="A94" s="6" t="s">
        <v>51</v>
      </c>
      <c r="B94" s="12" t="s">
        <v>78</v>
      </c>
      <c r="C94" s="12" t="s">
        <v>78</v>
      </c>
      <c r="D94" s="54" t="e">
        <f>#REF!+#REF!</f>
        <v>#REF!</v>
      </c>
      <c r="E94" s="54"/>
      <c r="F94" s="54"/>
      <c r="H94" s="54" t="e">
        <f>#REF!+#REF!</f>
        <v>#REF!</v>
      </c>
      <c r="J94" s="96" t="e">
        <f>#REF!+#REF!</f>
        <v>#REF!</v>
      </c>
      <c r="K94" s="96" t="e">
        <f>#REF!+#REF!</f>
        <v>#REF!</v>
      </c>
      <c r="L94" s="212" t="e">
        <f>#REF!+#REF!</f>
        <v>#REF!</v>
      </c>
      <c r="M94" s="212" t="e">
        <f>#REF!+#REF!</f>
        <v>#REF!</v>
      </c>
      <c r="N94" s="264" t="e">
        <f t="shared" si="5"/>
        <v>#REF!</v>
      </c>
    </row>
    <row r="95" spans="1:14" ht="14.25">
      <c r="A95" s="4" t="s">
        <v>14</v>
      </c>
      <c r="B95" s="11" t="s">
        <v>145</v>
      </c>
      <c r="C95" s="11" t="s">
        <v>179</v>
      </c>
      <c r="D95" s="54">
        <f>'[2]15 (3)'!H219</f>
        <v>4389.4</v>
      </c>
      <c r="E95" s="54">
        <v>4389.4</v>
      </c>
      <c r="F95" s="54"/>
      <c r="H95" s="54">
        <f>'15 (3)'!I246</f>
        <v>4253</v>
      </c>
      <c r="I95" s="63">
        <f>H95-'15 (3)'!I284</f>
        <v>4253</v>
      </c>
      <c r="J95" s="96" t="e">
        <f>'15 (3)'!K246</f>
        <v>#REF!</v>
      </c>
      <c r="K95" s="96" t="e">
        <f>'15 (3)'!L246</f>
        <v>#REF!</v>
      </c>
      <c r="L95" s="212">
        <f>'15 (3)'!M246</f>
        <v>14417.414999999999</v>
      </c>
      <c r="M95" s="212">
        <f>'15 (3)'!N246</f>
        <v>14417.414019999998</v>
      </c>
      <c r="N95" s="264">
        <f t="shared" si="5"/>
        <v>99.99999320266497</v>
      </c>
    </row>
    <row r="96" spans="1:14" ht="51" customHeight="1" hidden="1">
      <c r="A96" s="5" t="s">
        <v>1</v>
      </c>
      <c r="B96" s="12" t="s">
        <v>78</v>
      </c>
      <c r="C96" s="12" t="s">
        <v>18</v>
      </c>
      <c r="D96" s="54" t="e">
        <f>#REF!+#REF!</f>
        <v>#REF!</v>
      </c>
      <c r="E96" s="54"/>
      <c r="F96" s="54"/>
      <c r="H96" s="54" t="e">
        <f>#REF!+#REF!</f>
        <v>#REF!</v>
      </c>
      <c r="J96" s="96" t="e">
        <f>#REF!+#REF!</f>
        <v>#REF!</v>
      </c>
      <c r="K96" s="96" t="e">
        <f>#REF!+#REF!</f>
        <v>#REF!</v>
      </c>
      <c r="L96" s="212" t="e">
        <f>#REF!+#REF!</f>
        <v>#REF!</v>
      </c>
      <c r="M96" s="212" t="e">
        <f>#REF!+#REF!</f>
        <v>#REF!</v>
      </c>
      <c r="N96" s="212" t="e">
        <f>#REF!+#REF!</f>
        <v>#REF!</v>
      </c>
    </row>
    <row r="97" spans="1:14" ht="15" customHeight="1" hidden="1">
      <c r="A97" s="5" t="s">
        <v>86</v>
      </c>
      <c r="B97" s="12" t="s">
        <v>78</v>
      </c>
      <c r="C97" s="12" t="s">
        <v>18</v>
      </c>
      <c r="D97" s="54" t="e">
        <f>#REF!+#REF!</f>
        <v>#REF!</v>
      </c>
      <c r="E97" s="54"/>
      <c r="F97" s="54"/>
      <c r="H97" s="54" t="e">
        <f>#REF!+#REF!</f>
        <v>#REF!</v>
      </c>
      <c r="J97" s="96" t="e">
        <f>#REF!+#REF!</f>
        <v>#REF!</v>
      </c>
      <c r="K97" s="96" t="e">
        <f>#REF!+#REF!</f>
        <v>#REF!</v>
      </c>
      <c r="L97" s="212" t="e">
        <f>#REF!+#REF!</f>
        <v>#REF!</v>
      </c>
      <c r="M97" s="212" t="e">
        <f>#REF!+#REF!</f>
        <v>#REF!</v>
      </c>
      <c r="N97" s="212" t="e">
        <f>#REF!+#REF!</f>
        <v>#REF!</v>
      </c>
    </row>
    <row r="98" spans="1:14" ht="25.5" customHeight="1" hidden="1">
      <c r="A98" s="6" t="s">
        <v>97</v>
      </c>
      <c r="B98" s="12" t="s">
        <v>78</v>
      </c>
      <c r="C98" s="12" t="s">
        <v>18</v>
      </c>
      <c r="D98" s="54" t="e">
        <f>#REF!+#REF!</f>
        <v>#REF!</v>
      </c>
      <c r="E98" s="54"/>
      <c r="F98" s="54"/>
      <c r="H98" s="54" t="e">
        <f>#REF!+#REF!</f>
        <v>#REF!</v>
      </c>
      <c r="J98" s="96" t="e">
        <f>#REF!+#REF!</f>
        <v>#REF!</v>
      </c>
      <c r="K98" s="96" t="e">
        <f>#REF!+#REF!</f>
        <v>#REF!</v>
      </c>
      <c r="L98" s="212" t="e">
        <f>#REF!+#REF!</f>
        <v>#REF!</v>
      </c>
      <c r="M98" s="212" t="e">
        <f>#REF!+#REF!</f>
        <v>#REF!</v>
      </c>
      <c r="N98" s="212" t="e">
        <f>#REF!+#REF!</f>
        <v>#REF!</v>
      </c>
    </row>
    <row r="99" spans="1:14" ht="63.75" customHeight="1" hidden="1">
      <c r="A99" s="5" t="s">
        <v>137</v>
      </c>
      <c r="B99" s="12" t="s">
        <v>78</v>
      </c>
      <c r="C99" s="12" t="s">
        <v>18</v>
      </c>
      <c r="D99" s="54" t="e">
        <f>#REF!+#REF!</f>
        <v>#REF!</v>
      </c>
      <c r="E99" s="54"/>
      <c r="F99" s="54"/>
      <c r="H99" s="54" t="e">
        <f>#REF!+#REF!</f>
        <v>#REF!</v>
      </c>
      <c r="J99" s="96" t="e">
        <f>#REF!+#REF!</f>
        <v>#REF!</v>
      </c>
      <c r="K99" s="96" t="e">
        <f>#REF!+#REF!</f>
        <v>#REF!</v>
      </c>
      <c r="L99" s="212" t="e">
        <f>#REF!+#REF!</f>
        <v>#REF!</v>
      </c>
      <c r="M99" s="212" t="e">
        <f>#REF!+#REF!</f>
        <v>#REF!</v>
      </c>
      <c r="N99" s="212" t="e">
        <f>#REF!+#REF!</f>
        <v>#REF!</v>
      </c>
    </row>
    <row r="100" spans="1:14" ht="25.5" customHeight="1" hidden="1">
      <c r="A100" s="5" t="s">
        <v>63</v>
      </c>
      <c r="B100" s="12" t="s">
        <v>78</v>
      </c>
      <c r="C100" s="12" t="s">
        <v>18</v>
      </c>
      <c r="D100" s="54" t="e">
        <f>#REF!+#REF!</f>
        <v>#REF!</v>
      </c>
      <c r="E100" s="54"/>
      <c r="F100" s="54"/>
      <c r="H100" s="54" t="e">
        <f>#REF!+#REF!</f>
        <v>#REF!</v>
      </c>
      <c r="J100" s="96" t="e">
        <f>#REF!+#REF!</f>
        <v>#REF!</v>
      </c>
      <c r="K100" s="96" t="e">
        <f>#REF!+#REF!</f>
        <v>#REF!</v>
      </c>
      <c r="L100" s="212" t="e">
        <f>#REF!+#REF!</f>
        <v>#REF!</v>
      </c>
      <c r="M100" s="212" t="e">
        <f>#REF!+#REF!</f>
        <v>#REF!</v>
      </c>
      <c r="N100" s="212" t="e">
        <f>#REF!+#REF!</f>
        <v>#REF!</v>
      </c>
    </row>
    <row r="101" spans="1:14" ht="15" customHeight="1" hidden="1">
      <c r="A101" s="6" t="s">
        <v>51</v>
      </c>
      <c r="B101" s="12" t="s">
        <v>78</v>
      </c>
      <c r="C101" s="12" t="s">
        <v>18</v>
      </c>
      <c r="D101" s="54" t="e">
        <f>#REF!+#REF!</f>
        <v>#REF!</v>
      </c>
      <c r="E101" s="54"/>
      <c r="F101" s="54"/>
      <c r="H101" s="54" t="e">
        <f>#REF!+#REF!</f>
        <v>#REF!</v>
      </c>
      <c r="J101" s="96" t="e">
        <f>#REF!+#REF!</f>
        <v>#REF!</v>
      </c>
      <c r="K101" s="96" t="e">
        <f>#REF!+#REF!</f>
        <v>#REF!</v>
      </c>
      <c r="L101" s="212" t="e">
        <f>#REF!+#REF!</f>
        <v>#REF!</v>
      </c>
      <c r="M101" s="212" t="e">
        <f>#REF!+#REF!</f>
        <v>#REF!</v>
      </c>
      <c r="N101" s="212" t="e">
        <f>#REF!+#REF!</f>
        <v>#REF!</v>
      </c>
    </row>
    <row r="102" spans="1:14" s="87" customFormat="1" ht="15.75">
      <c r="A102" s="88" t="s">
        <v>277</v>
      </c>
      <c r="B102" s="89" t="s">
        <v>146</v>
      </c>
      <c r="C102" s="89">
        <v>0</v>
      </c>
      <c r="D102" s="90">
        <f>D103+D110</f>
        <v>4129.9</v>
      </c>
      <c r="E102" s="90">
        <f>E103+E110</f>
        <v>4640.9</v>
      </c>
      <c r="F102" s="90"/>
      <c r="H102" s="90" t="e">
        <f aca="true" t="shared" si="6" ref="H102:N102">H103+H110</f>
        <v>#REF!</v>
      </c>
      <c r="I102" s="90" t="e">
        <f t="shared" si="6"/>
        <v>#REF!</v>
      </c>
      <c r="J102" s="95" t="e">
        <f t="shared" si="6"/>
        <v>#REF!</v>
      </c>
      <c r="K102" s="95" t="e">
        <f t="shared" si="6"/>
        <v>#REF!</v>
      </c>
      <c r="L102" s="229">
        <f t="shared" si="6"/>
        <v>5373.005999999999</v>
      </c>
      <c r="M102" s="229">
        <f t="shared" si="6"/>
        <v>5874.005999999999</v>
      </c>
      <c r="N102" s="263">
        <f>M102/L102*100</f>
        <v>109.32438936416598</v>
      </c>
    </row>
    <row r="103" spans="1:14" ht="14.25">
      <c r="A103" s="4" t="s">
        <v>13</v>
      </c>
      <c r="B103" s="11" t="s">
        <v>146</v>
      </c>
      <c r="C103" s="11" t="s">
        <v>181</v>
      </c>
      <c r="D103" s="54">
        <f>'[2]15 (3)'!H232</f>
        <v>3062.5</v>
      </c>
      <c r="E103" s="54">
        <v>3411.5</v>
      </c>
      <c r="F103" s="54"/>
      <c r="H103" s="54" t="e">
        <f>'15 (3)'!I298</f>
        <v>#REF!</v>
      </c>
      <c r="I103" s="63" t="e">
        <f>H103</f>
        <v>#REF!</v>
      </c>
      <c r="J103" s="96" t="e">
        <f>'15 (3)'!K298</f>
        <v>#REF!</v>
      </c>
      <c r="K103" s="96">
        <f>'15 (3)'!L298</f>
        <v>4976</v>
      </c>
      <c r="L103" s="212">
        <f>'15 (3)'!M298</f>
        <v>4499.005999999999</v>
      </c>
      <c r="M103" s="212">
        <f>'15 (3)'!N298</f>
        <v>5000.005999999999</v>
      </c>
      <c r="N103" s="264">
        <f aca="true" t="shared" si="7" ref="N103:N110">M103/L103*100</f>
        <v>111.13579310629949</v>
      </c>
    </row>
    <row r="104" spans="1:14" ht="25.5" customHeight="1" hidden="1">
      <c r="A104" s="5" t="s">
        <v>64</v>
      </c>
      <c r="B104" s="11" t="s">
        <v>45</v>
      </c>
      <c r="C104" s="11" t="s">
        <v>71</v>
      </c>
      <c r="D104" s="54" t="e">
        <f>#REF!+#REF!</f>
        <v>#REF!</v>
      </c>
      <c r="E104" s="54"/>
      <c r="F104" s="54"/>
      <c r="H104" s="54" t="e">
        <f>#REF!+#REF!</f>
        <v>#REF!</v>
      </c>
      <c r="J104" s="96" t="e">
        <f>#REF!+#REF!</f>
        <v>#REF!</v>
      </c>
      <c r="K104" s="96" t="e">
        <f>#REF!+#REF!</f>
        <v>#REF!</v>
      </c>
      <c r="L104" s="212" t="e">
        <f>#REF!+#REF!</f>
        <v>#REF!</v>
      </c>
      <c r="M104" s="212" t="e">
        <f>#REF!+#REF!</f>
        <v>#REF!</v>
      </c>
      <c r="N104" s="264" t="e">
        <f t="shared" si="7"/>
        <v>#REF!</v>
      </c>
    </row>
    <row r="105" spans="1:14" ht="25.5" customHeight="1" hidden="1">
      <c r="A105" s="5" t="s">
        <v>63</v>
      </c>
      <c r="B105" s="11" t="s">
        <v>45</v>
      </c>
      <c r="C105" s="11" t="s">
        <v>71</v>
      </c>
      <c r="D105" s="54" t="e">
        <f>#REF!+#REF!</f>
        <v>#REF!</v>
      </c>
      <c r="E105" s="54"/>
      <c r="F105" s="54"/>
      <c r="H105" s="54" t="e">
        <f>#REF!+#REF!</f>
        <v>#REF!</v>
      </c>
      <c r="J105" s="96" t="e">
        <f>#REF!+#REF!</f>
        <v>#REF!</v>
      </c>
      <c r="K105" s="96" t="e">
        <f>#REF!+#REF!</f>
        <v>#REF!</v>
      </c>
      <c r="L105" s="212" t="e">
        <f>#REF!+#REF!</f>
        <v>#REF!</v>
      </c>
      <c r="M105" s="212" t="e">
        <f>#REF!+#REF!</f>
        <v>#REF!</v>
      </c>
      <c r="N105" s="264" t="e">
        <f t="shared" si="7"/>
        <v>#REF!</v>
      </c>
    </row>
    <row r="106" spans="1:14" ht="15" customHeight="1" hidden="1">
      <c r="A106" s="6" t="s">
        <v>51</v>
      </c>
      <c r="B106" s="11" t="s">
        <v>45</v>
      </c>
      <c r="C106" s="11" t="s">
        <v>71</v>
      </c>
      <c r="D106" s="54" t="e">
        <f>#REF!+#REF!</f>
        <v>#REF!</v>
      </c>
      <c r="E106" s="54"/>
      <c r="F106" s="54"/>
      <c r="H106" s="54" t="e">
        <f>#REF!+#REF!</f>
        <v>#REF!</v>
      </c>
      <c r="J106" s="96" t="e">
        <f>#REF!+#REF!</f>
        <v>#REF!</v>
      </c>
      <c r="K106" s="96" t="e">
        <f>#REF!+#REF!</f>
        <v>#REF!</v>
      </c>
      <c r="L106" s="212" t="e">
        <f>#REF!+#REF!</f>
        <v>#REF!</v>
      </c>
      <c r="M106" s="212" t="e">
        <f>#REF!+#REF!</f>
        <v>#REF!</v>
      </c>
      <c r="N106" s="264" t="e">
        <f t="shared" si="7"/>
        <v>#REF!</v>
      </c>
    </row>
    <row r="107" spans="1:14" ht="15" customHeight="1" hidden="1">
      <c r="A107" s="5" t="s">
        <v>11</v>
      </c>
      <c r="B107" s="11" t="s">
        <v>45</v>
      </c>
      <c r="C107" s="11" t="s">
        <v>71</v>
      </c>
      <c r="D107" s="54" t="e">
        <f>#REF!+#REF!</f>
        <v>#REF!</v>
      </c>
      <c r="E107" s="54"/>
      <c r="F107" s="54"/>
      <c r="H107" s="54" t="e">
        <f>#REF!+#REF!</f>
        <v>#REF!</v>
      </c>
      <c r="J107" s="96" t="e">
        <f>#REF!+#REF!</f>
        <v>#REF!</v>
      </c>
      <c r="K107" s="96" t="e">
        <f>#REF!+#REF!</f>
        <v>#REF!</v>
      </c>
      <c r="L107" s="212" t="e">
        <f>#REF!+#REF!</f>
        <v>#REF!</v>
      </c>
      <c r="M107" s="212" t="e">
        <f>#REF!+#REF!</f>
        <v>#REF!</v>
      </c>
      <c r="N107" s="264" t="e">
        <f t="shared" si="7"/>
        <v>#REF!</v>
      </c>
    </row>
    <row r="108" spans="1:14" ht="25.5" customHeight="1" hidden="1">
      <c r="A108" s="5" t="s">
        <v>63</v>
      </c>
      <c r="B108" s="11" t="s">
        <v>45</v>
      </c>
      <c r="C108" s="11" t="s">
        <v>71</v>
      </c>
      <c r="D108" s="54" t="e">
        <f>#REF!+#REF!</f>
        <v>#REF!</v>
      </c>
      <c r="E108" s="54"/>
      <c r="F108" s="54"/>
      <c r="H108" s="54" t="e">
        <f>#REF!+#REF!</f>
        <v>#REF!</v>
      </c>
      <c r="J108" s="96" t="e">
        <f>#REF!+#REF!</f>
        <v>#REF!</v>
      </c>
      <c r="K108" s="96" t="e">
        <f>#REF!+#REF!</f>
        <v>#REF!</v>
      </c>
      <c r="L108" s="212" t="e">
        <f>#REF!+#REF!</f>
        <v>#REF!</v>
      </c>
      <c r="M108" s="212" t="e">
        <f>#REF!+#REF!</f>
        <v>#REF!</v>
      </c>
      <c r="N108" s="264" t="e">
        <f t="shared" si="7"/>
        <v>#REF!</v>
      </c>
    </row>
    <row r="109" spans="1:14" ht="15" customHeight="1" hidden="1">
      <c r="A109" s="6" t="s">
        <v>51</v>
      </c>
      <c r="B109" s="11" t="s">
        <v>45</v>
      </c>
      <c r="C109" s="11" t="s">
        <v>71</v>
      </c>
      <c r="D109" s="54" t="e">
        <f>#REF!+#REF!</f>
        <v>#REF!</v>
      </c>
      <c r="E109" s="54"/>
      <c r="F109" s="54"/>
      <c r="H109" s="54" t="e">
        <f>#REF!+#REF!</f>
        <v>#REF!</v>
      </c>
      <c r="J109" s="96" t="e">
        <f>#REF!+#REF!</f>
        <v>#REF!</v>
      </c>
      <c r="K109" s="96" t="e">
        <f>#REF!+#REF!</f>
        <v>#REF!</v>
      </c>
      <c r="L109" s="212" t="e">
        <f>#REF!+#REF!</f>
        <v>#REF!</v>
      </c>
      <c r="M109" s="212" t="e">
        <f>#REF!+#REF!</f>
        <v>#REF!</v>
      </c>
      <c r="N109" s="264" t="e">
        <f t="shared" si="7"/>
        <v>#REF!</v>
      </c>
    </row>
    <row r="110" spans="1:14" ht="14.25">
      <c r="A110" s="4" t="s">
        <v>254</v>
      </c>
      <c r="B110" s="11" t="s">
        <v>146</v>
      </c>
      <c r="C110" s="11" t="s">
        <v>253</v>
      </c>
      <c r="D110" s="54">
        <f>'[2]15 (3)'!H257</f>
        <v>1067.4</v>
      </c>
      <c r="E110" s="54">
        <v>1229.4</v>
      </c>
      <c r="F110" s="54"/>
      <c r="H110" s="54" t="e">
        <f>'15 (3)'!I333</f>
        <v>#REF!</v>
      </c>
      <c r="I110" s="63" t="e">
        <f>H110</f>
        <v>#REF!</v>
      </c>
      <c r="J110" s="96" t="e">
        <f>'15 (3)'!K333</f>
        <v>#REF!</v>
      </c>
      <c r="K110" s="96" t="e">
        <f>'15 (3)'!L333</f>
        <v>#REF!</v>
      </c>
      <c r="L110" s="212">
        <f>'15 (3)'!M333</f>
        <v>874</v>
      </c>
      <c r="M110" s="212">
        <f>'15 (3)'!N333</f>
        <v>874</v>
      </c>
      <c r="N110" s="264">
        <f t="shared" si="7"/>
        <v>100</v>
      </c>
    </row>
    <row r="111" spans="1:14" ht="51" customHeight="1" hidden="1">
      <c r="A111" s="5" t="s">
        <v>1</v>
      </c>
      <c r="B111" s="11" t="s">
        <v>45</v>
      </c>
      <c r="C111" s="11" t="s">
        <v>77</v>
      </c>
      <c r="D111" s="54" t="e">
        <f>#REF!+#REF!</f>
        <v>#REF!</v>
      </c>
      <c r="E111" s="54"/>
      <c r="F111" s="54"/>
      <c r="H111" s="54" t="e">
        <f>#REF!+#REF!</f>
        <v>#REF!</v>
      </c>
      <c r="J111" s="96" t="e">
        <f>#REF!+#REF!</f>
        <v>#REF!</v>
      </c>
      <c r="K111" s="96" t="e">
        <f>#REF!+#REF!</f>
        <v>#REF!</v>
      </c>
      <c r="L111" s="212" t="e">
        <f>#REF!+#REF!</f>
        <v>#REF!</v>
      </c>
      <c r="M111" s="212" t="e">
        <f>#REF!+#REF!</f>
        <v>#REF!</v>
      </c>
      <c r="N111" s="212" t="e">
        <f>#REF!+#REF!</f>
        <v>#REF!</v>
      </c>
    </row>
    <row r="112" spans="1:14" ht="15" customHeight="1" hidden="1">
      <c r="A112" s="5" t="s">
        <v>86</v>
      </c>
      <c r="B112" s="11" t="s">
        <v>45</v>
      </c>
      <c r="C112" s="11" t="s">
        <v>77</v>
      </c>
      <c r="D112" s="54" t="e">
        <f>#REF!+#REF!</f>
        <v>#REF!</v>
      </c>
      <c r="E112" s="54"/>
      <c r="F112" s="54"/>
      <c r="H112" s="54" t="e">
        <f>#REF!+#REF!</f>
        <v>#REF!</v>
      </c>
      <c r="J112" s="96" t="e">
        <f>#REF!+#REF!</f>
        <v>#REF!</v>
      </c>
      <c r="K112" s="96" t="e">
        <f>#REF!+#REF!</f>
        <v>#REF!</v>
      </c>
      <c r="L112" s="212" t="e">
        <f>#REF!+#REF!</f>
        <v>#REF!</v>
      </c>
      <c r="M112" s="212" t="e">
        <f>#REF!+#REF!</f>
        <v>#REF!</v>
      </c>
      <c r="N112" s="212" t="e">
        <f>#REF!+#REF!</f>
        <v>#REF!</v>
      </c>
    </row>
    <row r="113" spans="1:14" ht="25.5" customHeight="1" hidden="1">
      <c r="A113" s="6" t="s">
        <v>97</v>
      </c>
      <c r="B113" s="11" t="s">
        <v>45</v>
      </c>
      <c r="C113" s="11" t="s">
        <v>77</v>
      </c>
      <c r="D113" s="54" t="e">
        <f>#REF!+#REF!</f>
        <v>#REF!</v>
      </c>
      <c r="E113" s="54"/>
      <c r="F113" s="54"/>
      <c r="H113" s="54" t="e">
        <f>#REF!+#REF!</f>
        <v>#REF!</v>
      </c>
      <c r="J113" s="96" t="e">
        <f>#REF!+#REF!</f>
        <v>#REF!</v>
      </c>
      <c r="K113" s="96" t="e">
        <f>#REF!+#REF!</f>
        <v>#REF!</v>
      </c>
      <c r="L113" s="212" t="e">
        <f>#REF!+#REF!</f>
        <v>#REF!</v>
      </c>
      <c r="M113" s="212" t="e">
        <f>#REF!+#REF!</f>
        <v>#REF!</v>
      </c>
      <c r="N113" s="212" t="e">
        <f>#REF!+#REF!</f>
        <v>#REF!</v>
      </c>
    </row>
    <row r="114" spans="1:14" ht="51" customHeight="1" hidden="1">
      <c r="A114" s="5" t="s">
        <v>8</v>
      </c>
      <c r="B114" s="11" t="s">
        <v>45</v>
      </c>
      <c r="C114" s="11" t="s">
        <v>77</v>
      </c>
      <c r="D114" s="54" t="e">
        <f>#REF!+#REF!</f>
        <v>#REF!</v>
      </c>
      <c r="E114" s="54"/>
      <c r="F114" s="54"/>
      <c r="H114" s="54" t="e">
        <f>#REF!+#REF!</f>
        <v>#REF!</v>
      </c>
      <c r="J114" s="96" t="e">
        <f>#REF!+#REF!</f>
        <v>#REF!</v>
      </c>
      <c r="K114" s="96" t="e">
        <f>#REF!+#REF!</f>
        <v>#REF!</v>
      </c>
      <c r="L114" s="212" t="e">
        <f>#REF!+#REF!</f>
        <v>#REF!</v>
      </c>
      <c r="M114" s="212" t="e">
        <f>#REF!+#REF!</f>
        <v>#REF!</v>
      </c>
      <c r="N114" s="212" t="e">
        <f>#REF!+#REF!</f>
        <v>#REF!</v>
      </c>
    </row>
    <row r="115" spans="1:14" ht="25.5" customHeight="1" hidden="1">
      <c r="A115" s="5" t="s">
        <v>63</v>
      </c>
      <c r="B115" s="11" t="s">
        <v>45</v>
      </c>
      <c r="C115" s="11" t="s">
        <v>77</v>
      </c>
      <c r="D115" s="54" t="e">
        <f>#REF!+#REF!</f>
        <v>#REF!</v>
      </c>
      <c r="E115" s="54"/>
      <c r="F115" s="54"/>
      <c r="H115" s="54" t="e">
        <f>#REF!+#REF!</f>
        <v>#REF!</v>
      </c>
      <c r="J115" s="96" t="e">
        <f>#REF!+#REF!</f>
        <v>#REF!</v>
      </c>
      <c r="K115" s="96" t="e">
        <f>#REF!+#REF!</f>
        <v>#REF!</v>
      </c>
      <c r="L115" s="212" t="e">
        <f>#REF!+#REF!</f>
        <v>#REF!</v>
      </c>
      <c r="M115" s="212" t="e">
        <f>#REF!+#REF!</f>
        <v>#REF!</v>
      </c>
      <c r="N115" s="212" t="e">
        <f>#REF!+#REF!</f>
        <v>#REF!</v>
      </c>
    </row>
    <row r="116" spans="1:14" ht="25.5" customHeight="1" hidden="1">
      <c r="A116" s="6" t="s">
        <v>97</v>
      </c>
      <c r="B116" s="11" t="s">
        <v>45</v>
      </c>
      <c r="C116" s="11" t="s">
        <v>77</v>
      </c>
      <c r="D116" s="54" t="e">
        <f>#REF!+#REF!</f>
        <v>#REF!</v>
      </c>
      <c r="E116" s="54"/>
      <c r="F116" s="54"/>
      <c r="H116" s="54" t="e">
        <f>#REF!+#REF!</f>
        <v>#REF!</v>
      </c>
      <c r="J116" s="96" t="e">
        <f>#REF!+#REF!</f>
        <v>#REF!</v>
      </c>
      <c r="K116" s="96" t="e">
        <f>#REF!+#REF!</f>
        <v>#REF!</v>
      </c>
      <c r="L116" s="212" t="e">
        <f>#REF!+#REF!</f>
        <v>#REF!</v>
      </c>
      <c r="M116" s="212" t="e">
        <f>#REF!+#REF!</f>
        <v>#REF!</v>
      </c>
      <c r="N116" s="212" t="e">
        <f>#REF!+#REF!</f>
        <v>#REF!</v>
      </c>
    </row>
    <row r="117" spans="1:14" s="87" customFormat="1" ht="15.75">
      <c r="A117" s="88" t="s">
        <v>255</v>
      </c>
      <c r="B117" s="89" t="s">
        <v>147</v>
      </c>
      <c r="C117" s="89">
        <v>0</v>
      </c>
      <c r="D117" s="90">
        <f>D118+D122+D128+D132+D167+D171</f>
        <v>16581.4</v>
      </c>
      <c r="E117" s="90">
        <f>E118+E122+E128+E132+E167+E171</f>
        <v>16954.4</v>
      </c>
      <c r="F117" s="90"/>
      <c r="H117" s="90" t="e">
        <f>H118+H122+H128+H132+H139</f>
        <v>#REF!</v>
      </c>
      <c r="I117" s="90" t="e">
        <f>I118+I122+I128+I132</f>
        <v>#REF!</v>
      </c>
      <c r="J117" s="95" t="e">
        <f>J118+J122+J128+J132+J139</f>
        <v>#REF!</v>
      </c>
      <c r="K117" s="95">
        <f>K139</f>
        <v>50</v>
      </c>
      <c r="L117" s="229">
        <f>L139</f>
        <v>500</v>
      </c>
      <c r="M117" s="229">
        <f>M139</f>
        <v>500</v>
      </c>
      <c r="N117" s="263">
        <f>M117/L117*100</f>
        <v>100</v>
      </c>
    </row>
    <row r="118" spans="1:14" ht="14.25" hidden="1">
      <c r="A118" s="4" t="s">
        <v>61</v>
      </c>
      <c r="B118" s="11" t="s">
        <v>147</v>
      </c>
      <c r="C118" s="11" t="s">
        <v>182</v>
      </c>
      <c r="D118" s="54">
        <f>'[2]15 (3)'!H271</f>
        <v>3507.7</v>
      </c>
      <c r="E118" s="54">
        <v>3507.7</v>
      </c>
      <c r="F118" s="54"/>
      <c r="H118" s="54" t="e">
        <f>'15 (3)'!#REF!</f>
        <v>#REF!</v>
      </c>
      <c r="I118" s="63" t="e">
        <f>H118</f>
        <v>#REF!</v>
      </c>
      <c r="J118" s="96" t="e">
        <f>'15 (3)'!#REF!</f>
        <v>#REF!</v>
      </c>
      <c r="K118" s="96" t="e">
        <f>'15 (3)'!#REF!</f>
        <v>#REF!</v>
      </c>
      <c r="L118" s="212" t="e">
        <f>'15 (3)'!#REF!</f>
        <v>#REF!</v>
      </c>
      <c r="M118" s="212" t="e">
        <f>'15 (3)'!#REF!</f>
        <v>#REF!</v>
      </c>
      <c r="N118" s="212" t="e">
        <f>'15 (3)'!#REF!</f>
        <v>#REF!</v>
      </c>
    </row>
    <row r="119" spans="1:14" ht="15" customHeight="1" hidden="1">
      <c r="A119" s="5" t="s">
        <v>12</v>
      </c>
      <c r="B119" s="12" t="s">
        <v>18</v>
      </c>
      <c r="C119" s="12" t="s">
        <v>71</v>
      </c>
      <c r="D119" s="54" t="e">
        <f>#REF!+#REF!</f>
        <v>#REF!</v>
      </c>
      <c r="E119" s="54"/>
      <c r="F119" s="54"/>
      <c r="H119" s="54" t="e">
        <f>#REF!+#REF!</f>
        <v>#REF!</v>
      </c>
      <c r="J119" s="96" t="e">
        <f>#REF!+#REF!</f>
        <v>#REF!</v>
      </c>
      <c r="K119" s="96" t="e">
        <f>#REF!+#REF!</f>
        <v>#REF!</v>
      </c>
      <c r="L119" s="212" t="e">
        <f>#REF!+#REF!</f>
        <v>#REF!</v>
      </c>
      <c r="M119" s="212" t="e">
        <f>#REF!+#REF!</f>
        <v>#REF!</v>
      </c>
      <c r="N119" s="212" t="e">
        <f>#REF!+#REF!</f>
        <v>#REF!</v>
      </c>
    </row>
    <row r="120" spans="1:14" ht="25.5" customHeight="1" hidden="1">
      <c r="A120" s="5" t="s">
        <v>63</v>
      </c>
      <c r="B120" s="12" t="s">
        <v>18</v>
      </c>
      <c r="C120" s="12" t="s">
        <v>71</v>
      </c>
      <c r="D120" s="54" t="e">
        <f>#REF!+#REF!</f>
        <v>#REF!</v>
      </c>
      <c r="E120" s="54"/>
      <c r="F120" s="54"/>
      <c r="H120" s="54" t="e">
        <f>#REF!+#REF!</f>
        <v>#REF!</v>
      </c>
      <c r="J120" s="96" t="e">
        <f>#REF!+#REF!</f>
        <v>#REF!</v>
      </c>
      <c r="K120" s="96" t="e">
        <f>#REF!+#REF!</f>
        <v>#REF!</v>
      </c>
      <c r="L120" s="212" t="e">
        <f>#REF!+#REF!</f>
        <v>#REF!</v>
      </c>
      <c r="M120" s="212" t="e">
        <f>#REF!+#REF!</f>
        <v>#REF!</v>
      </c>
      <c r="N120" s="212" t="e">
        <f>#REF!+#REF!</f>
        <v>#REF!</v>
      </c>
    </row>
    <row r="121" spans="1:14" ht="15" customHeight="1" hidden="1">
      <c r="A121" s="6" t="s">
        <v>51</v>
      </c>
      <c r="B121" s="13" t="s">
        <v>18</v>
      </c>
      <c r="C121" s="13" t="s">
        <v>71</v>
      </c>
      <c r="D121" s="54" t="e">
        <f>#REF!+#REF!</f>
        <v>#REF!</v>
      </c>
      <c r="E121" s="54"/>
      <c r="F121" s="54"/>
      <c r="H121" s="54" t="e">
        <f>#REF!+#REF!</f>
        <v>#REF!</v>
      </c>
      <c r="J121" s="96" t="e">
        <f>#REF!+#REF!</f>
        <v>#REF!</v>
      </c>
      <c r="K121" s="96" t="e">
        <f>#REF!+#REF!</f>
        <v>#REF!</v>
      </c>
      <c r="L121" s="212" t="e">
        <f>#REF!+#REF!</f>
        <v>#REF!</v>
      </c>
      <c r="M121" s="212" t="e">
        <f>#REF!+#REF!</f>
        <v>#REF!</v>
      </c>
      <c r="N121" s="212" t="e">
        <f>#REF!+#REF!</f>
        <v>#REF!</v>
      </c>
    </row>
    <row r="122" spans="1:14" ht="14.25" hidden="1">
      <c r="A122" s="4" t="s">
        <v>62</v>
      </c>
      <c r="B122" s="11" t="s">
        <v>147</v>
      </c>
      <c r="C122" s="11" t="s">
        <v>183</v>
      </c>
      <c r="D122" s="54">
        <f>'[2]15 (3)'!H276</f>
        <v>9866.8</v>
      </c>
      <c r="E122" s="54">
        <v>10239.8</v>
      </c>
      <c r="F122" s="54"/>
      <c r="H122" s="54" t="e">
        <f>'15 (3)'!#REF!</f>
        <v>#REF!</v>
      </c>
      <c r="I122" s="63" t="e">
        <f>H122</f>
        <v>#REF!</v>
      </c>
      <c r="J122" s="96" t="e">
        <f>'15 (3)'!#REF!</f>
        <v>#REF!</v>
      </c>
      <c r="K122" s="96" t="e">
        <f>'15 (3)'!#REF!</f>
        <v>#REF!</v>
      </c>
      <c r="L122" s="212" t="e">
        <f>'15 (3)'!#REF!</f>
        <v>#REF!</v>
      </c>
      <c r="M122" s="212" t="e">
        <f>'15 (3)'!#REF!</f>
        <v>#REF!</v>
      </c>
      <c r="N122" s="212" t="e">
        <f>'15 (3)'!#REF!</f>
        <v>#REF!</v>
      </c>
    </row>
    <row r="123" spans="1:14" ht="15" customHeight="1" hidden="1">
      <c r="A123" s="5" t="s">
        <v>12</v>
      </c>
      <c r="B123" s="12" t="s">
        <v>18</v>
      </c>
      <c r="C123" s="12" t="s">
        <v>66</v>
      </c>
      <c r="D123" s="54" t="e">
        <f>#REF!+#REF!</f>
        <v>#REF!</v>
      </c>
      <c r="E123" s="54"/>
      <c r="F123" s="54"/>
      <c r="H123" s="54" t="e">
        <f>#REF!+#REF!</f>
        <v>#REF!</v>
      </c>
      <c r="J123" s="96" t="e">
        <f>#REF!+#REF!</f>
        <v>#REF!</v>
      </c>
      <c r="K123" s="96" t="e">
        <f>#REF!+#REF!</f>
        <v>#REF!</v>
      </c>
      <c r="L123" s="212" t="e">
        <f>#REF!+#REF!</f>
        <v>#REF!</v>
      </c>
      <c r="M123" s="212" t="e">
        <f>#REF!+#REF!</f>
        <v>#REF!</v>
      </c>
      <c r="N123" s="212" t="e">
        <f>#REF!+#REF!</f>
        <v>#REF!</v>
      </c>
    </row>
    <row r="124" spans="1:14" ht="25.5" customHeight="1" hidden="1">
      <c r="A124" s="5" t="s">
        <v>63</v>
      </c>
      <c r="B124" s="12" t="s">
        <v>18</v>
      </c>
      <c r="C124" s="12" t="s">
        <v>66</v>
      </c>
      <c r="D124" s="54" t="e">
        <f>#REF!+#REF!</f>
        <v>#REF!</v>
      </c>
      <c r="E124" s="54"/>
      <c r="F124" s="54"/>
      <c r="H124" s="54" t="e">
        <f>#REF!+#REF!</f>
        <v>#REF!</v>
      </c>
      <c r="J124" s="96" t="e">
        <f>#REF!+#REF!</f>
        <v>#REF!</v>
      </c>
      <c r="K124" s="96" t="e">
        <f>#REF!+#REF!</f>
        <v>#REF!</v>
      </c>
      <c r="L124" s="212" t="e">
        <f>#REF!+#REF!</f>
        <v>#REF!</v>
      </c>
      <c r="M124" s="212" t="e">
        <f>#REF!+#REF!</f>
        <v>#REF!</v>
      </c>
      <c r="N124" s="212" t="e">
        <f>#REF!+#REF!</f>
        <v>#REF!</v>
      </c>
    </row>
    <row r="125" spans="1:14" ht="15" customHeight="1" hidden="1">
      <c r="A125" s="6" t="s">
        <v>51</v>
      </c>
      <c r="B125" s="13" t="s">
        <v>18</v>
      </c>
      <c r="C125" s="13" t="s">
        <v>66</v>
      </c>
      <c r="D125" s="54" t="e">
        <f>#REF!+#REF!</f>
        <v>#REF!</v>
      </c>
      <c r="E125" s="54"/>
      <c r="F125" s="54"/>
      <c r="H125" s="54" t="e">
        <f>#REF!+#REF!</f>
        <v>#REF!</v>
      </c>
      <c r="J125" s="96" t="e">
        <f>#REF!+#REF!</f>
        <v>#REF!</v>
      </c>
      <c r="K125" s="96" t="e">
        <f>#REF!+#REF!</f>
        <v>#REF!</v>
      </c>
      <c r="L125" s="212" t="e">
        <f>#REF!+#REF!</f>
        <v>#REF!</v>
      </c>
      <c r="M125" s="212" t="e">
        <f>#REF!+#REF!</f>
        <v>#REF!</v>
      </c>
      <c r="N125" s="212" t="e">
        <f>#REF!+#REF!</f>
        <v>#REF!</v>
      </c>
    </row>
    <row r="126" spans="1:14" ht="38.25" customHeight="1" hidden="1">
      <c r="A126" s="5" t="s">
        <v>139</v>
      </c>
      <c r="B126" s="12" t="s">
        <v>18</v>
      </c>
      <c r="C126" s="12" t="s">
        <v>66</v>
      </c>
      <c r="D126" s="54" t="e">
        <f>#REF!+#REF!</f>
        <v>#REF!</v>
      </c>
      <c r="E126" s="54"/>
      <c r="F126" s="54"/>
      <c r="H126" s="54" t="e">
        <f>#REF!+#REF!</f>
        <v>#REF!</v>
      </c>
      <c r="J126" s="96" t="e">
        <f>#REF!+#REF!</f>
        <v>#REF!</v>
      </c>
      <c r="K126" s="96" t="e">
        <f>#REF!+#REF!</f>
        <v>#REF!</v>
      </c>
      <c r="L126" s="212" t="e">
        <f>#REF!+#REF!</f>
        <v>#REF!</v>
      </c>
      <c r="M126" s="212" t="e">
        <f>#REF!+#REF!</f>
        <v>#REF!</v>
      </c>
      <c r="N126" s="212" t="e">
        <f>#REF!+#REF!</f>
        <v>#REF!</v>
      </c>
    </row>
    <row r="127" spans="1:14" ht="15" customHeight="1" hidden="1">
      <c r="A127" s="6" t="s">
        <v>51</v>
      </c>
      <c r="B127" s="13" t="s">
        <v>18</v>
      </c>
      <c r="C127" s="13" t="s">
        <v>66</v>
      </c>
      <c r="D127" s="54" t="e">
        <f>#REF!+#REF!</f>
        <v>#REF!</v>
      </c>
      <c r="E127" s="54"/>
      <c r="F127" s="54"/>
      <c r="H127" s="54" t="e">
        <f>#REF!+#REF!</f>
        <v>#REF!</v>
      </c>
      <c r="J127" s="96" t="e">
        <f>#REF!+#REF!</f>
        <v>#REF!</v>
      </c>
      <c r="K127" s="96" t="e">
        <f>#REF!+#REF!</f>
        <v>#REF!</v>
      </c>
      <c r="L127" s="212" t="e">
        <f>#REF!+#REF!</f>
        <v>#REF!</v>
      </c>
      <c r="M127" s="212" t="e">
        <f>#REF!+#REF!</f>
        <v>#REF!</v>
      </c>
      <c r="N127" s="212" t="e">
        <f>#REF!+#REF!</f>
        <v>#REF!</v>
      </c>
    </row>
    <row r="128" spans="1:14" ht="14.25" hidden="1">
      <c r="A128" s="4" t="s">
        <v>28</v>
      </c>
      <c r="B128" s="11" t="s">
        <v>147</v>
      </c>
      <c r="C128" s="11" t="s">
        <v>184</v>
      </c>
      <c r="D128" s="54">
        <f>'[2]15 (3)'!H298</f>
        <v>20</v>
      </c>
      <c r="E128" s="54">
        <v>20</v>
      </c>
      <c r="F128" s="54"/>
      <c r="H128" s="54" t="e">
        <f>'15 (3)'!#REF!</f>
        <v>#REF!</v>
      </c>
      <c r="I128" s="63" t="e">
        <f>H128</f>
        <v>#REF!</v>
      </c>
      <c r="J128" s="96" t="e">
        <f>'15 (3)'!#REF!</f>
        <v>#REF!</v>
      </c>
      <c r="K128" s="96" t="e">
        <f>'15 (3)'!#REF!</f>
        <v>#REF!</v>
      </c>
      <c r="L128" s="212" t="e">
        <f>'15 (3)'!#REF!</f>
        <v>#REF!</v>
      </c>
      <c r="M128" s="212" t="e">
        <f>'15 (3)'!#REF!</f>
        <v>#REF!</v>
      </c>
      <c r="N128" s="212" t="e">
        <f>'15 (3)'!#REF!</f>
        <v>#REF!</v>
      </c>
    </row>
    <row r="129" spans="1:14" ht="15" customHeight="1" hidden="1">
      <c r="A129" s="5" t="s">
        <v>12</v>
      </c>
      <c r="B129" s="12" t="s">
        <v>18</v>
      </c>
      <c r="C129" s="12" t="s">
        <v>72</v>
      </c>
      <c r="D129" s="54" t="e">
        <f>#REF!+#REF!</f>
        <v>#REF!</v>
      </c>
      <c r="E129" s="54"/>
      <c r="F129" s="54"/>
      <c r="H129" s="54" t="e">
        <f>#REF!+#REF!</f>
        <v>#REF!</v>
      </c>
      <c r="J129" s="96" t="e">
        <f>#REF!+#REF!</f>
        <v>#REF!</v>
      </c>
      <c r="K129" s="96" t="e">
        <f>#REF!+#REF!</f>
        <v>#REF!</v>
      </c>
      <c r="L129" s="212" t="e">
        <f>#REF!+#REF!</f>
        <v>#REF!</v>
      </c>
      <c r="M129" s="212" t="e">
        <f>#REF!+#REF!</f>
        <v>#REF!</v>
      </c>
      <c r="N129" s="212" t="e">
        <f>#REF!+#REF!</f>
        <v>#REF!</v>
      </c>
    </row>
    <row r="130" spans="1:14" ht="25.5" customHeight="1" hidden="1">
      <c r="A130" s="5" t="s">
        <v>63</v>
      </c>
      <c r="B130" s="12" t="s">
        <v>18</v>
      </c>
      <c r="C130" s="12" t="s">
        <v>72</v>
      </c>
      <c r="D130" s="54" t="e">
        <f>#REF!+#REF!</f>
        <v>#REF!</v>
      </c>
      <c r="E130" s="54"/>
      <c r="F130" s="54"/>
      <c r="H130" s="54" t="e">
        <f>#REF!+#REF!</f>
        <v>#REF!</v>
      </c>
      <c r="J130" s="96" t="e">
        <f>#REF!+#REF!</f>
        <v>#REF!</v>
      </c>
      <c r="K130" s="96" t="e">
        <f>#REF!+#REF!</f>
        <v>#REF!</v>
      </c>
      <c r="L130" s="212" t="e">
        <f>#REF!+#REF!</f>
        <v>#REF!</v>
      </c>
      <c r="M130" s="212" t="e">
        <f>#REF!+#REF!</f>
        <v>#REF!</v>
      </c>
      <c r="N130" s="212" t="e">
        <f>#REF!+#REF!</f>
        <v>#REF!</v>
      </c>
    </row>
    <row r="131" spans="1:14" ht="15" customHeight="1" hidden="1">
      <c r="A131" s="6" t="s">
        <v>51</v>
      </c>
      <c r="B131" s="13" t="s">
        <v>18</v>
      </c>
      <c r="C131" s="13" t="s">
        <v>72</v>
      </c>
      <c r="D131" s="54" t="e">
        <f>#REF!+#REF!</f>
        <v>#REF!</v>
      </c>
      <c r="E131" s="54"/>
      <c r="F131" s="54"/>
      <c r="H131" s="54" t="e">
        <f>#REF!+#REF!</f>
        <v>#REF!</v>
      </c>
      <c r="J131" s="96" t="e">
        <f>#REF!+#REF!</f>
        <v>#REF!</v>
      </c>
      <c r="K131" s="96" t="e">
        <f>#REF!+#REF!</f>
        <v>#REF!</v>
      </c>
      <c r="L131" s="212" t="e">
        <f>#REF!+#REF!</f>
        <v>#REF!</v>
      </c>
      <c r="M131" s="212" t="e">
        <f>#REF!+#REF!</f>
        <v>#REF!</v>
      </c>
      <c r="N131" s="212" t="e">
        <f>#REF!+#REF!</f>
        <v>#REF!</v>
      </c>
    </row>
    <row r="132" spans="1:14" ht="14.25" hidden="1">
      <c r="A132" s="4" t="s">
        <v>29</v>
      </c>
      <c r="B132" s="11" t="s">
        <v>147</v>
      </c>
      <c r="C132" s="11" t="s">
        <v>185</v>
      </c>
      <c r="D132" s="54">
        <f>'[2]15 (3)'!H303</f>
        <v>2842.4</v>
      </c>
      <c r="E132" s="54">
        <v>2842.4</v>
      </c>
      <c r="F132" s="54"/>
      <c r="H132" s="54" t="e">
        <f>'15 (3)'!#REF!</f>
        <v>#REF!</v>
      </c>
      <c r="I132" s="63" t="e">
        <f>H132</f>
        <v>#REF!</v>
      </c>
      <c r="J132" s="96" t="e">
        <f>'15 (3)'!#REF!</f>
        <v>#REF!</v>
      </c>
      <c r="K132" s="96" t="e">
        <f>'15 (3)'!#REF!</f>
        <v>#REF!</v>
      </c>
      <c r="L132" s="212" t="e">
        <f>'15 (3)'!#REF!</f>
        <v>#REF!</v>
      </c>
      <c r="M132" s="212" t="e">
        <f>'15 (3)'!#REF!</f>
        <v>#REF!</v>
      </c>
      <c r="N132" s="212" t="e">
        <f>'15 (3)'!#REF!</f>
        <v>#REF!</v>
      </c>
    </row>
    <row r="133" spans="1:14" ht="15" customHeight="1" hidden="1">
      <c r="A133" s="5" t="s">
        <v>12</v>
      </c>
      <c r="B133" s="12" t="s">
        <v>18</v>
      </c>
      <c r="C133" s="12" t="s">
        <v>74</v>
      </c>
      <c r="D133" s="54" t="e">
        <f>#REF!+#REF!</f>
        <v>#REF!</v>
      </c>
      <c r="E133" s="54"/>
      <c r="F133" s="54"/>
      <c r="H133" s="54" t="e">
        <f>#REF!+#REF!</f>
        <v>#REF!</v>
      </c>
      <c r="J133" s="96" t="e">
        <f>#REF!+#REF!</f>
        <v>#REF!</v>
      </c>
      <c r="K133" s="96" t="e">
        <f>#REF!+#REF!</f>
        <v>#REF!</v>
      </c>
      <c r="L133" s="212" t="e">
        <f>#REF!+#REF!</f>
        <v>#REF!</v>
      </c>
      <c r="M133" s="212" t="e">
        <f>#REF!+#REF!</f>
        <v>#REF!</v>
      </c>
      <c r="N133" s="212" t="e">
        <f>#REF!+#REF!</f>
        <v>#REF!</v>
      </c>
    </row>
    <row r="134" spans="1:14" ht="25.5" customHeight="1" hidden="1">
      <c r="A134" s="5" t="s">
        <v>63</v>
      </c>
      <c r="B134" s="12" t="s">
        <v>18</v>
      </c>
      <c r="C134" s="12" t="s">
        <v>74</v>
      </c>
      <c r="D134" s="54" t="e">
        <f>#REF!+#REF!</f>
        <v>#REF!</v>
      </c>
      <c r="E134" s="54"/>
      <c r="F134" s="54"/>
      <c r="H134" s="54" t="e">
        <f>#REF!+#REF!</f>
        <v>#REF!</v>
      </c>
      <c r="J134" s="96" t="e">
        <f>#REF!+#REF!</f>
        <v>#REF!</v>
      </c>
      <c r="K134" s="96" t="e">
        <f>#REF!+#REF!</f>
        <v>#REF!</v>
      </c>
      <c r="L134" s="212" t="e">
        <f>#REF!+#REF!</f>
        <v>#REF!</v>
      </c>
      <c r="M134" s="212" t="e">
        <f>#REF!+#REF!</f>
        <v>#REF!</v>
      </c>
      <c r="N134" s="212" t="e">
        <f>#REF!+#REF!</f>
        <v>#REF!</v>
      </c>
    </row>
    <row r="135" spans="1:14" ht="15" customHeight="1" hidden="1">
      <c r="A135" s="6" t="s">
        <v>51</v>
      </c>
      <c r="B135" s="13" t="s">
        <v>18</v>
      </c>
      <c r="C135" s="13" t="s">
        <v>74</v>
      </c>
      <c r="D135" s="54" t="e">
        <f>#REF!+#REF!</f>
        <v>#REF!</v>
      </c>
      <c r="E135" s="54"/>
      <c r="F135" s="54"/>
      <c r="H135" s="54" t="e">
        <f>#REF!+#REF!</f>
        <v>#REF!</v>
      </c>
      <c r="J135" s="96" t="e">
        <f>#REF!+#REF!</f>
        <v>#REF!</v>
      </c>
      <c r="K135" s="96" t="e">
        <f>#REF!+#REF!</f>
        <v>#REF!</v>
      </c>
      <c r="L135" s="212" t="e">
        <f>#REF!+#REF!</f>
        <v>#REF!</v>
      </c>
      <c r="M135" s="212" t="e">
        <f>#REF!+#REF!</f>
        <v>#REF!</v>
      </c>
      <c r="N135" s="212" t="e">
        <f>#REF!+#REF!</f>
        <v>#REF!</v>
      </c>
    </row>
    <row r="136" spans="1:14" ht="38.25" customHeight="1" hidden="1">
      <c r="A136" s="5" t="s">
        <v>139</v>
      </c>
      <c r="B136" s="12" t="s">
        <v>18</v>
      </c>
      <c r="C136" s="12" t="s">
        <v>74</v>
      </c>
      <c r="D136" s="54" t="e">
        <f>#REF!+#REF!</f>
        <v>#REF!</v>
      </c>
      <c r="E136" s="54"/>
      <c r="F136" s="54"/>
      <c r="H136" s="54" t="e">
        <f>#REF!+#REF!</f>
        <v>#REF!</v>
      </c>
      <c r="J136" s="96" t="e">
        <f>#REF!+#REF!</f>
        <v>#REF!</v>
      </c>
      <c r="K136" s="96" t="e">
        <f>#REF!+#REF!</f>
        <v>#REF!</v>
      </c>
      <c r="L136" s="212" t="e">
        <f>#REF!+#REF!</f>
        <v>#REF!</v>
      </c>
      <c r="M136" s="212" t="e">
        <f>#REF!+#REF!</f>
        <v>#REF!</v>
      </c>
      <c r="N136" s="212" t="e">
        <f>#REF!+#REF!</f>
        <v>#REF!</v>
      </c>
    </row>
    <row r="137" spans="1:14" ht="15" customHeight="1" hidden="1">
      <c r="A137" s="6" t="s">
        <v>51</v>
      </c>
      <c r="B137" s="13" t="s">
        <v>18</v>
      </c>
      <c r="C137" s="13" t="s">
        <v>74</v>
      </c>
      <c r="D137" s="54" t="e">
        <f>#REF!+#REF!</f>
        <v>#REF!</v>
      </c>
      <c r="E137" s="54"/>
      <c r="F137" s="54"/>
      <c r="H137" s="54" t="e">
        <f>#REF!+#REF!</f>
        <v>#REF!</v>
      </c>
      <c r="J137" s="96" t="e">
        <f>#REF!+#REF!</f>
        <v>#REF!</v>
      </c>
      <c r="K137" s="96" t="e">
        <f>#REF!+#REF!</f>
        <v>#REF!</v>
      </c>
      <c r="L137" s="212" t="e">
        <f>#REF!+#REF!</f>
        <v>#REF!</v>
      </c>
      <c r="M137" s="212" t="e">
        <f>#REF!+#REF!</f>
        <v>#REF!</v>
      </c>
      <c r="N137" s="212" t="e">
        <f>#REF!+#REF!</f>
        <v>#REF!</v>
      </c>
    </row>
    <row r="138" spans="1:14" ht="15" customHeight="1" hidden="1">
      <c r="A138" s="6"/>
      <c r="B138" s="13"/>
      <c r="C138" s="13"/>
      <c r="D138" s="54" t="e">
        <f>#REF!+#REF!</f>
        <v>#REF!</v>
      </c>
      <c r="E138" s="54"/>
      <c r="F138" s="54"/>
      <c r="H138" s="54" t="e">
        <f>#REF!+#REF!</f>
        <v>#REF!</v>
      </c>
      <c r="J138" s="96" t="e">
        <f>#REF!+#REF!</f>
        <v>#REF!</v>
      </c>
      <c r="K138" s="96" t="e">
        <f>#REF!+#REF!</f>
        <v>#REF!</v>
      </c>
      <c r="L138" s="212" t="e">
        <f>#REF!+#REF!</f>
        <v>#REF!</v>
      </c>
      <c r="M138" s="212" t="e">
        <f>#REF!+#REF!</f>
        <v>#REF!</v>
      </c>
      <c r="N138" s="212" t="e">
        <f>#REF!+#REF!</f>
        <v>#REF!</v>
      </c>
    </row>
    <row r="139" spans="1:14" ht="15" customHeight="1">
      <c r="A139" s="86" t="s">
        <v>278</v>
      </c>
      <c r="B139" s="11" t="s">
        <v>147</v>
      </c>
      <c r="C139" s="11" t="s">
        <v>268</v>
      </c>
      <c r="D139" s="54"/>
      <c r="E139" s="54"/>
      <c r="F139" s="54"/>
      <c r="H139" s="54" t="e">
        <f>'15 (3)'!I343</f>
        <v>#REF!</v>
      </c>
      <c r="J139" s="96" t="e">
        <f>'15 (3)'!K343</f>
        <v>#REF!</v>
      </c>
      <c r="K139" s="96">
        <f>'15 (3)'!L343</f>
        <v>50</v>
      </c>
      <c r="L139" s="212">
        <f>'15 (3)'!M343</f>
        <v>500</v>
      </c>
      <c r="M139" s="212">
        <f>'15 (3)'!N343</f>
        <v>500</v>
      </c>
      <c r="N139" s="264">
        <f>M139/L139*100</f>
        <v>100</v>
      </c>
    </row>
    <row r="140" spans="1:14" s="87" customFormat="1" ht="16.5" customHeight="1">
      <c r="A140" s="88" t="s">
        <v>36</v>
      </c>
      <c r="B140" s="89" t="s">
        <v>148</v>
      </c>
      <c r="C140" s="89">
        <v>0</v>
      </c>
      <c r="D140" s="90">
        <f>D141+D145+D149+D166+D156</f>
        <v>12447.097</v>
      </c>
      <c r="E140" s="90">
        <f>E141+E149+E156+E166</f>
        <v>30895.569</v>
      </c>
      <c r="F140" s="90"/>
      <c r="H140" s="90" t="e">
        <f aca="true" t="shared" si="8" ref="H140:N140">H141+H145+H149+H166+H156</f>
        <v>#REF!</v>
      </c>
      <c r="I140" s="90" t="e">
        <f t="shared" si="8"/>
        <v>#REF!</v>
      </c>
      <c r="J140" s="95" t="e">
        <f t="shared" si="8"/>
        <v>#REF!</v>
      </c>
      <c r="K140" s="95" t="e">
        <f t="shared" si="8"/>
        <v>#REF!</v>
      </c>
      <c r="L140" s="229">
        <f t="shared" si="8"/>
        <v>22311.192049999998</v>
      </c>
      <c r="M140" s="229">
        <f t="shared" si="8"/>
        <v>24126.30077</v>
      </c>
      <c r="N140" s="263">
        <f>M140/L140*100</f>
        <v>108.13541793702592</v>
      </c>
    </row>
    <row r="141" spans="1:14" ht="14.25">
      <c r="A141" s="4" t="s">
        <v>54</v>
      </c>
      <c r="B141" s="11" t="s">
        <v>148</v>
      </c>
      <c r="C141" s="11" t="s">
        <v>186</v>
      </c>
      <c r="D141" s="54">
        <f>'[2]15 (3)'!H350</f>
        <v>565</v>
      </c>
      <c r="E141" s="54">
        <v>780</v>
      </c>
      <c r="F141" s="54"/>
      <c r="H141" s="54">
        <f>'15 (3)'!I349</f>
        <v>800</v>
      </c>
      <c r="I141" s="63">
        <f>H141</f>
        <v>800</v>
      </c>
      <c r="J141" s="96">
        <f>'15 (3)'!K349</f>
        <v>800</v>
      </c>
      <c r="K141" s="96">
        <f>'15 (3)'!L349</f>
        <v>1560</v>
      </c>
      <c r="L141" s="212">
        <f>'15 (3)'!M349</f>
        <v>1849.526</v>
      </c>
      <c r="M141" s="212">
        <f>'15 (3)'!N349</f>
        <v>1849.52548</v>
      </c>
      <c r="N141" s="264">
        <f>M141/L141*100</f>
        <v>99.99997188468829</v>
      </c>
    </row>
    <row r="142" spans="1:14" ht="25.5" customHeight="1" hidden="1">
      <c r="A142" s="5" t="s">
        <v>82</v>
      </c>
      <c r="B142" s="12" t="s">
        <v>19</v>
      </c>
      <c r="C142" s="12" t="s">
        <v>71</v>
      </c>
      <c r="D142" s="54" t="e">
        <f>#REF!+#REF!</f>
        <v>#REF!</v>
      </c>
      <c r="E142" s="54"/>
      <c r="F142" s="54"/>
      <c r="H142" s="54" t="e">
        <f>#REF!+#REF!</f>
        <v>#REF!</v>
      </c>
      <c r="J142" s="96" t="e">
        <f>#REF!+#REF!</f>
        <v>#REF!</v>
      </c>
      <c r="K142" s="96" t="e">
        <f>#REF!+#REF!</f>
        <v>#REF!</v>
      </c>
      <c r="L142" s="212" t="e">
        <f>#REF!+#REF!</f>
        <v>#REF!</v>
      </c>
      <c r="M142" s="212" t="e">
        <f>#REF!+#REF!</f>
        <v>#REF!</v>
      </c>
      <c r="N142" s="212" t="e">
        <f>#REF!+#REF!</f>
        <v>#REF!</v>
      </c>
    </row>
    <row r="143" spans="1:14" ht="25.5" customHeight="1" hidden="1">
      <c r="A143" s="5" t="s">
        <v>55</v>
      </c>
      <c r="B143" s="12" t="s">
        <v>19</v>
      </c>
      <c r="C143" s="12" t="s">
        <v>71</v>
      </c>
      <c r="D143" s="54" t="e">
        <f>#REF!+#REF!</f>
        <v>#REF!</v>
      </c>
      <c r="E143" s="54"/>
      <c r="F143" s="54"/>
      <c r="H143" s="54" t="e">
        <f>#REF!+#REF!</f>
        <v>#REF!</v>
      </c>
      <c r="J143" s="96" t="e">
        <f>#REF!+#REF!</f>
        <v>#REF!</v>
      </c>
      <c r="K143" s="96" t="e">
        <f>#REF!+#REF!</f>
        <v>#REF!</v>
      </c>
      <c r="L143" s="212" t="e">
        <f>#REF!+#REF!</f>
        <v>#REF!</v>
      </c>
      <c r="M143" s="212" t="e">
        <f>#REF!+#REF!</f>
        <v>#REF!</v>
      </c>
      <c r="N143" s="212" t="e">
        <f>#REF!+#REF!</f>
        <v>#REF!</v>
      </c>
    </row>
    <row r="144" spans="1:14" ht="15" customHeight="1" hidden="1">
      <c r="A144" s="6" t="s">
        <v>24</v>
      </c>
      <c r="B144" s="12" t="s">
        <v>19</v>
      </c>
      <c r="C144" s="12" t="s">
        <v>71</v>
      </c>
      <c r="D144" s="54" t="e">
        <f>#REF!+#REF!</f>
        <v>#REF!</v>
      </c>
      <c r="E144" s="54"/>
      <c r="F144" s="54"/>
      <c r="H144" s="54" t="e">
        <f>#REF!+#REF!</f>
        <v>#REF!</v>
      </c>
      <c r="J144" s="96" t="e">
        <f>#REF!+#REF!</f>
        <v>#REF!</v>
      </c>
      <c r="K144" s="96" t="e">
        <f>#REF!+#REF!</f>
        <v>#REF!</v>
      </c>
      <c r="L144" s="212" t="e">
        <f>#REF!+#REF!</f>
        <v>#REF!</v>
      </c>
      <c r="M144" s="212" t="e">
        <f>#REF!+#REF!</f>
        <v>#REF!</v>
      </c>
      <c r="N144" s="212" t="e">
        <f>#REF!+#REF!</f>
        <v>#REF!</v>
      </c>
    </row>
    <row r="145" spans="1:14" ht="14.25">
      <c r="A145" s="4" t="s">
        <v>56</v>
      </c>
      <c r="B145" s="11" t="s">
        <v>148</v>
      </c>
      <c r="C145" s="11" t="s">
        <v>187</v>
      </c>
      <c r="D145" s="54">
        <f>'[2]15 (3)'!H355</f>
        <v>0</v>
      </c>
      <c r="E145" s="54"/>
      <c r="F145" s="54"/>
      <c r="H145" s="54"/>
      <c r="J145" s="96"/>
      <c r="K145" s="96"/>
      <c r="L145" s="212"/>
      <c r="M145" s="212"/>
      <c r="N145" s="212"/>
    </row>
    <row r="146" spans="1:14" ht="15" customHeight="1" hidden="1">
      <c r="A146" s="5" t="s">
        <v>57</v>
      </c>
      <c r="B146" s="12" t="s">
        <v>19</v>
      </c>
      <c r="C146" s="12" t="s">
        <v>66</v>
      </c>
      <c r="D146" s="54" t="e">
        <f>#REF!+#REF!</f>
        <v>#REF!</v>
      </c>
      <c r="E146" s="54"/>
      <c r="F146" s="54"/>
      <c r="H146" s="54" t="e">
        <f>#REF!+#REF!</f>
        <v>#REF!</v>
      </c>
      <c r="J146" s="96" t="e">
        <f>#REF!+#REF!</f>
        <v>#REF!</v>
      </c>
      <c r="K146" s="96" t="e">
        <f>#REF!+#REF!</f>
        <v>#REF!</v>
      </c>
      <c r="L146" s="212" t="e">
        <f>#REF!+#REF!</f>
        <v>#REF!</v>
      </c>
      <c r="M146" s="212" t="e">
        <f>#REF!+#REF!</f>
        <v>#REF!</v>
      </c>
      <c r="N146" s="212" t="e">
        <f>#REF!+#REF!</f>
        <v>#REF!</v>
      </c>
    </row>
    <row r="147" spans="1:14" ht="25.5" customHeight="1" hidden="1">
      <c r="A147" s="5" t="s">
        <v>63</v>
      </c>
      <c r="B147" s="12" t="s">
        <v>19</v>
      </c>
      <c r="C147" s="12" t="s">
        <v>66</v>
      </c>
      <c r="D147" s="54" t="e">
        <f>#REF!+#REF!</f>
        <v>#REF!</v>
      </c>
      <c r="E147" s="54"/>
      <c r="F147" s="54"/>
      <c r="H147" s="54" t="e">
        <f>#REF!+#REF!</f>
        <v>#REF!</v>
      </c>
      <c r="J147" s="96" t="e">
        <f>#REF!+#REF!</f>
        <v>#REF!</v>
      </c>
      <c r="K147" s="96" t="e">
        <f>#REF!+#REF!</f>
        <v>#REF!</v>
      </c>
      <c r="L147" s="212" t="e">
        <f>#REF!+#REF!</f>
        <v>#REF!</v>
      </c>
      <c r="M147" s="212" t="e">
        <f>#REF!+#REF!</f>
        <v>#REF!</v>
      </c>
      <c r="N147" s="212" t="e">
        <f>#REF!+#REF!</f>
        <v>#REF!</v>
      </c>
    </row>
    <row r="148" spans="1:14" ht="15" customHeight="1" hidden="1">
      <c r="A148" s="6" t="s">
        <v>51</v>
      </c>
      <c r="B148" s="12" t="s">
        <v>19</v>
      </c>
      <c r="C148" s="12" t="s">
        <v>66</v>
      </c>
      <c r="D148" s="54" t="e">
        <f>#REF!+#REF!</f>
        <v>#REF!</v>
      </c>
      <c r="E148" s="54"/>
      <c r="F148" s="54"/>
      <c r="H148" s="54" t="e">
        <f>#REF!+#REF!</f>
        <v>#REF!</v>
      </c>
      <c r="J148" s="96" t="e">
        <f>#REF!+#REF!</f>
        <v>#REF!</v>
      </c>
      <c r="K148" s="96" t="e">
        <f>#REF!+#REF!</f>
        <v>#REF!</v>
      </c>
      <c r="L148" s="212" t="e">
        <f>#REF!+#REF!</f>
        <v>#REF!</v>
      </c>
      <c r="M148" s="212" t="e">
        <f>#REF!+#REF!</f>
        <v>#REF!</v>
      </c>
      <c r="N148" s="212" t="e">
        <f>#REF!+#REF!</f>
        <v>#REF!</v>
      </c>
    </row>
    <row r="149" spans="1:14" ht="14.25">
      <c r="A149" s="4" t="s">
        <v>16</v>
      </c>
      <c r="B149" s="11" t="s">
        <v>148</v>
      </c>
      <c r="C149" s="11" t="s">
        <v>174</v>
      </c>
      <c r="D149" s="54">
        <f>'[2]15 (3)'!H362</f>
        <v>6137.597</v>
      </c>
      <c r="E149" s="54">
        <v>24371.069</v>
      </c>
      <c r="F149" s="54"/>
      <c r="H149" s="54" t="e">
        <f>'15 (3)'!I354</f>
        <v>#REF!</v>
      </c>
      <c r="I149" s="63" t="e">
        <f>H149-'15 (3)'!#REF!-'15 (3)'!#REF!</f>
        <v>#REF!</v>
      </c>
      <c r="J149" s="96" t="e">
        <f>'15 (3)'!K354</f>
        <v>#REF!</v>
      </c>
      <c r="K149" s="96" t="e">
        <f>'15 (3)'!L354</f>
        <v>#REF!</v>
      </c>
      <c r="L149" s="212">
        <f>'15 (3)'!M354</f>
        <v>9412.22461</v>
      </c>
      <c r="M149" s="212">
        <f>'15 (3)'!N354</f>
        <v>11350.464609999999</v>
      </c>
      <c r="N149" s="264">
        <f>M149/L149*100</f>
        <v>120.59279373699519</v>
      </c>
    </row>
    <row r="150" spans="1:14" ht="38.25" customHeight="1" hidden="1">
      <c r="A150" s="6" t="s">
        <v>126</v>
      </c>
      <c r="B150" s="12" t="s">
        <v>19</v>
      </c>
      <c r="C150" s="12" t="s">
        <v>72</v>
      </c>
      <c r="D150" s="54" t="e">
        <f>#REF!+#REF!</f>
        <v>#REF!</v>
      </c>
      <c r="E150" s="54"/>
      <c r="F150" s="54"/>
      <c r="H150" s="54" t="e">
        <f>#REF!+#REF!</f>
        <v>#REF!</v>
      </c>
      <c r="J150" s="96" t="e">
        <f>#REF!+#REF!</f>
        <v>#REF!</v>
      </c>
      <c r="K150" s="96" t="e">
        <f>#REF!+#REF!</f>
        <v>#REF!</v>
      </c>
      <c r="L150" s="212" t="e">
        <f>#REF!+#REF!</f>
        <v>#REF!</v>
      </c>
      <c r="M150" s="212" t="e">
        <f>#REF!+#REF!</f>
        <v>#REF!</v>
      </c>
      <c r="N150" s="212" t="e">
        <f>#REF!+#REF!</f>
        <v>#REF!</v>
      </c>
    </row>
    <row r="151" spans="1:14" ht="15" customHeight="1" hidden="1">
      <c r="A151" s="6" t="s">
        <v>69</v>
      </c>
      <c r="B151" s="13" t="s">
        <v>19</v>
      </c>
      <c r="C151" s="13" t="s">
        <v>72</v>
      </c>
      <c r="D151" s="54" t="e">
        <f>#REF!+#REF!</f>
        <v>#REF!</v>
      </c>
      <c r="E151" s="54"/>
      <c r="F151" s="54"/>
      <c r="H151" s="54" t="e">
        <f>#REF!+#REF!</f>
        <v>#REF!</v>
      </c>
      <c r="J151" s="96" t="e">
        <f>#REF!+#REF!</f>
        <v>#REF!</v>
      </c>
      <c r="K151" s="96" t="e">
        <f>#REF!+#REF!</f>
        <v>#REF!</v>
      </c>
      <c r="L151" s="212" t="e">
        <f>#REF!+#REF!</f>
        <v>#REF!</v>
      </c>
      <c r="M151" s="212" t="e">
        <f>#REF!+#REF!</f>
        <v>#REF!</v>
      </c>
      <c r="N151" s="212" t="e">
        <f>#REF!+#REF!</f>
        <v>#REF!</v>
      </c>
    </row>
    <row r="152" spans="1:14" ht="15" customHeight="1" hidden="1">
      <c r="A152" s="6" t="s">
        <v>95</v>
      </c>
      <c r="B152" s="13" t="s">
        <v>19</v>
      </c>
      <c r="C152" s="13" t="s">
        <v>72</v>
      </c>
      <c r="D152" s="54" t="e">
        <f>#REF!+#REF!</f>
        <v>#REF!</v>
      </c>
      <c r="E152" s="54"/>
      <c r="F152" s="54"/>
      <c r="H152" s="54" t="e">
        <f>#REF!+#REF!</f>
        <v>#REF!</v>
      </c>
      <c r="J152" s="96" t="e">
        <f>#REF!+#REF!</f>
        <v>#REF!</v>
      </c>
      <c r="K152" s="96" t="e">
        <f>#REF!+#REF!</f>
        <v>#REF!</v>
      </c>
      <c r="L152" s="212" t="e">
        <f>#REF!+#REF!</f>
        <v>#REF!</v>
      </c>
      <c r="M152" s="212" t="e">
        <f>#REF!+#REF!</f>
        <v>#REF!</v>
      </c>
      <c r="N152" s="212" t="e">
        <f>#REF!+#REF!</f>
        <v>#REF!</v>
      </c>
    </row>
    <row r="153" spans="1:14" ht="15" customHeight="1" hidden="1">
      <c r="A153" s="5" t="s">
        <v>84</v>
      </c>
      <c r="B153" s="12" t="s">
        <v>19</v>
      </c>
      <c r="C153" s="12" t="s">
        <v>72</v>
      </c>
      <c r="D153" s="54" t="e">
        <f>#REF!+#REF!</f>
        <v>#REF!</v>
      </c>
      <c r="E153" s="54"/>
      <c r="F153" s="54"/>
      <c r="H153" s="54" t="e">
        <f>#REF!+#REF!</f>
        <v>#REF!</v>
      </c>
      <c r="J153" s="96" t="e">
        <f>#REF!+#REF!</f>
        <v>#REF!</v>
      </c>
      <c r="K153" s="96" t="e">
        <f>#REF!+#REF!</f>
        <v>#REF!</v>
      </c>
      <c r="L153" s="212" t="e">
        <f>#REF!+#REF!</f>
        <v>#REF!</v>
      </c>
      <c r="M153" s="212" t="e">
        <f>#REF!+#REF!</f>
        <v>#REF!</v>
      </c>
      <c r="N153" s="212" t="e">
        <f>#REF!+#REF!</f>
        <v>#REF!</v>
      </c>
    </row>
    <row r="154" spans="1:14" ht="25.5" customHeight="1" hidden="1">
      <c r="A154" s="5" t="s">
        <v>89</v>
      </c>
      <c r="B154" s="12" t="s">
        <v>19</v>
      </c>
      <c r="C154" s="12" t="s">
        <v>72</v>
      </c>
      <c r="D154" s="54" t="e">
        <f>#REF!+#REF!</f>
        <v>#REF!</v>
      </c>
      <c r="E154" s="54"/>
      <c r="F154" s="54"/>
      <c r="H154" s="54" t="e">
        <f>#REF!+#REF!</f>
        <v>#REF!</v>
      </c>
      <c r="J154" s="96" t="e">
        <f>#REF!+#REF!</f>
        <v>#REF!</v>
      </c>
      <c r="K154" s="96" t="e">
        <f>#REF!+#REF!</f>
        <v>#REF!</v>
      </c>
      <c r="L154" s="212" t="e">
        <f>#REF!+#REF!</f>
        <v>#REF!</v>
      </c>
      <c r="M154" s="212" t="e">
        <f>#REF!+#REF!</f>
        <v>#REF!</v>
      </c>
      <c r="N154" s="212" t="e">
        <f>#REF!+#REF!</f>
        <v>#REF!</v>
      </c>
    </row>
    <row r="155" spans="1:14" ht="15" customHeight="1" hidden="1">
      <c r="A155" s="6" t="s">
        <v>24</v>
      </c>
      <c r="B155" s="12" t="s">
        <v>19</v>
      </c>
      <c r="C155" s="12" t="s">
        <v>72</v>
      </c>
      <c r="D155" s="54" t="e">
        <f>#REF!+#REF!</f>
        <v>#REF!</v>
      </c>
      <c r="E155" s="54"/>
      <c r="F155" s="54"/>
      <c r="H155" s="54" t="e">
        <f>#REF!+#REF!</f>
        <v>#REF!</v>
      </c>
      <c r="J155" s="96" t="e">
        <f>#REF!+#REF!</f>
        <v>#REF!</v>
      </c>
      <c r="K155" s="96" t="e">
        <f>#REF!+#REF!</f>
        <v>#REF!</v>
      </c>
      <c r="L155" s="212" t="e">
        <f>#REF!+#REF!</f>
        <v>#REF!</v>
      </c>
      <c r="M155" s="212" t="e">
        <f>#REF!+#REF!</f>
        <v>#REF!</v>
      </c>
      <c r="N155" s="212" t="e">
        <f>#REF!+#REF!</f>
        <v>#REF!</v>
      </c>
    </row>
    <row r="156" spans="1:14" ht="14.25">
      <c r="A156" s="4" t="s">
        <v>117</v>
      </c>
      <c r="B156" s="11" t="s">
        <v>148</v>
      </c>
      <c r="C156" s="11" t="s">
        <v>180</v>
      </c>
      <c r="D156" s="54">
        <f>'[2]15 (3)'!H405</f>
        <v>5013.5</v>
      </c>
      <c r="E156" s="54">
        <v>5013.5</v>
      </c>
      <c r="F156" s="54"/>
      <c r="H156" s="54" t="e">
        <f>'15 (3)'!I399</f>
        <v>#REF!</v>
      </c>
      <c r="J156" s="96" t="e">
        <f>'15 (3)'!K399</f>
        <v>#REF!</v>
      </c>
      <c r="K156" s="96">
        <f>'15 (3)'!L399</f>
        <v>7620.7</v>
      </c>
      <c r="L156" s="212">
        <f>'15 (3)'!M399</f>
        <v>10240.541439999999</v>
      </c>
      <c r="M156" s="212">
        <f>'15 (3)'!N399</f>
        <v>10117.41068</v>
      </c>
      <c r="N156" s="264">
        <f>M156/L156*100</f>
        <v>98.79761474799523</v>
      </c>
    </row>
    <row r="157" spans="1:14" ht="15" customHeight="1" hidden="1">
      <c r="A157" s="5" t="s">
        <v>84</v>
      </c>
      <c r="B157" s="11" t="s">
        <v>19</v>
      </c>
      <c r="C157" s="11" t="s">
        <v>74</v>
      </c>
      <c r="D157" s="54" t="e">
        <f>#REF!+#REF!</f>
        <v>#REF!</v>
      </c>
      <c r="E157" s="54"/>
      <c r="F157" s="54"/>
      <c r="H157" s="54" t="e">
        <f>#REF!+#REF!</f>
        <v>#REF!</v>
      </c>
      <c r="J157" s="96" t="e">
        <f>#REF!+#REF!</f>
        <v>#REF!</v>
      </c>
      <c r="K157" s="96" t="e">
        <f>#REF!+#REF!</f>
        <v>#REF!</v>
      </c>
      <c r="L157" s="212" t="e">
        <f>#REF!+#REF!</f>
        <v>#REF!</v>
      </c>
      <c r="M157" s="212" t="e">
        <f>#REF!+#REF!</f>
        <v>#REF!</v>
      </c>
      <c r="N157" s="212" t="e">
        <f>#REF!+#REF!</f>
        <v>#REF!</v>
      </c>
    </row>
    <row r="158" spans="1:14" ht="38.25" customHeight="1" hidden="1">
      <c r="A158" s="5" t="s">
        <v>119</v>
      </c>
      <c r="B158" s="11" t="s">
        <v>19</v>
      </c>
      <c r="C158" s="11" t="s">
        <v>74</v>
      </c>
      <c r="D158" s="54" t="e">
        <f>#REF!+#REF!</f>
        <v>#REF!</v>
      </c>
      <c r="E158" s="54"/>
      <c r="F158" s="54"/>
      <c r="H158" s="54" t="e">
        <f>#REF!+#REF!</f>
        <v>#REF!</v>
      </c>
      <c r="J158" s="96" t="e">
        <f>#REF!+#REF!</f>
        <v>#REF!</v>
      </c>
      <c r="K158" s="96" t="e">
        <f>#REF!+#REF!</f>
        <v>#REF!</v>
      </c>
      <c r="L158" s="212" t="e">
        <f>#REF!+#REF!</f>
        <v>#REF!</v>
      </c>
      <c r="M158" s="212" t="e">
        <f>#REF!+#REF!</f>
        <v>#REF!</v>
      </c>
      <c r="N158" s="212" t="e">
        <f>#REF!+#REF!</f>
        <v>#REF!</v>
      </c>
    </row>
    <row r="159" spans="1:14" ht="15" customHeight="1" hidden="1">
      <c r="A159" s="6" t="s">
        <v>24</v>
      </c>
      <c r="B159" s="11" t="s">
        <v>19</v>
      </c>
      <c r="C159" s="11" t="s">
        <v>74</v>
      </c>
      <c r="D159" s="54" t="e">
        <f>#REF!+#REF!</f>
        <v>#REF!</v>
      </c>
      <c r="E159" s="54"/>
      <c r="F159" s="54"/>
      <c r="H159" s="54" t="e">
        <f>#REF!+#REF!</f>
        <v>#REF!</v>
      </c>
      <c r="J159" s="96" t="e">
        <f>#REF!+#REF!</f>
        <v>#REF!</v>
      </c>
      <c r="K159" s="96" t="e">
        <f>#REF!+#REF!</f>
        <v>#REF!</v>
      </c>
      <c r="L159" s="212" t="e">
        <f>#REF!+#REF!</f>
        <v>#REF!</v>
      </c>
      <c r="M159" s="212" t="e">
        <f>#REF!+#REF!</f>
        <v>#REF!</v>
      </c>
      <c r="N159" s="212" t="e">
        <f>#REF!+#REF!</f>
        <v>#REF!</v>
      </c>
    </row>
    <row r="160" spans="1:14" ht="25.5" customHeight="1" hidden="1">
      <c r="A160" s="5" t="s">
        <v>85</v>
      </c>
      <c r="B160" s="11" t="s">
        <v>19</v>
      </c>
      <c r="C160" s="11" t="s">
        <v>74</v>
      </c>
      <c r="D160" s="54" t="e">
        <f>#REF!+#REF!</f>
        <v>#REF!</v>
      </c>
      <c r="E160" s="54"/>
      <c r="F160" s="54"/>
      <c r="H160" s="54" t="e">
        <f>#REF!+#REF!</f>
        <v>#REF!</v>
      </c>
      <c r="J160" s="96" t="e">
        <f>#REF!+#REF!</f>
        <v>#REF!</v>
      </c>
      <c r="K160" s="96" t="e">
        <f>#REF!+#REF!</f>
        <v>#REF!</v>
      </c>
      <c r="L160" s="212" t="e">
        <f>#REF!+#REF!</f>
        <v>#REF!</v>
      </c>
      <c r="M160" s="212" t="e">
        <f>#REF!+#REF!</f>
        <v>#REF!</v>
      </c>
      <c r="N160" s="212" t="e">
        <f>#REF!+#REF!</f>
        <v>#REF!</v>
      </c>
    </row>
    <row r="161" spans="1:14" ht="25.5" customHeight="1" hidden="1">
      <c r="A161" s="5" t="s">
        <v>120</v>
      </c>
      <c r="B161" s="11" t="s">
        <v>19</v>
      </c>
      <c r="C161" s="11" t="s">
        <v>74</v>
      </c>
      <c r="D161" s="54" t="e">
        <f>#REF!+#REF!</f>
        <v>#REF!</v>
      </c>
      <c r="E161" s="54"/>
      <c r="F161" s="54"/>
      <c r="H161" s="54" t="e">
        <f>#REF!+#REF!</f>
        <v>#REF!</v>
      </c>
      <c r="J161" s="96" t="e">
        <f>#REF!+#REF!</f>
        <v>#REF!</v>
      </c>
      <c r="K161" s="96" t="e">
        <f>#REF!+#REF!</f>
        <v>#REF!</v>
      </c>
      <c r="L161" s="212" t="e">
        <f>#REF!+#REF!</f>
        <v>#REF!</v>
      </c>
      <c r="M161" s="212" t="e">
        <f>#REF!+#REF!</f>
        <v>#REF!</v>
      </c>
      <c r="N161" s="212" t="e">
        <f>#REF!+#REF!</f>
        <v>#REF!</v>
      </c>
    </row>
    <row r="162" spans="1:14" ht="15" customHeight="1" hidden="1">
      <c r="A162" s="6" t="s">
        <v>24</v>
      </c>
      <c r="B162" s="11" t="s">
        <v>19</v>
      </c>
      <c r="C162" s="11" t="s">
        <v>74</v>
      </c>
      <c r="D162" s="54" t="e">
        <f>#REF!+#REF!</f>
        <v>#REF!</v>
      </c>
      <c r="E162" s="54"/>
      <c r="F162" s="54"/>
      <c r="H162" s="54" t="e">
        <f>#REF!+#REF!</f>
        <v>#REF!</v>
      </c>
      <c r="J162" s="96" t="e">
        <f>#REF!+#REF!</f>
        <v>#REF!</v>
      </c>
      <c r="K162" s="96" t="e">
        <f>#REF!+#REF!</f>
        <v>#REF!</v>
      </c>
      <c r="L162" s="212" t="e">
        <f>#REF!+#REF!</f>
        <v>#REF!</v>
      </c>
      <c r="M162" s="212" t="e">
        <f>#REF!+#REF!</f>
        <v>#REF!</v>
      </c>
      <c r="N162" s="212" t="e">
        <f>#REF!+#REF!</f>
        <v>#REF!</v>
      </c>
    </row>
    <row r="163" spans="1:14" ht="15" customHeight="1" hidden="1">
      <c r="A163" s="5" t="s">
        <v>5</v>
      </c>
      <c r="B163" s="11" t="s">
        <v>19</v>
      </c>
      <c r="C163" s="11" t="s">
        <v>74</v>
      </c>
      <c r="D163" s="54" t="e">
        <f>#REF!+#REF!</f>
        <v>#REF!</v>
      </c>
      <c r="E163" s="54"/>
      <c r="F163" s="54"/>
      <c r="H163" s="54" t="e">
        <f>#REF!+#REF!</f>
        <v>#REF!</v>
      </c>
      <c r="J163" s="96" t="e">
        <f>#REF!+#REF!</f>
        <v>#REF!</v>
      </c>
      <c r="K163" s="96" t="e">
        <f>#REF!+#REF!</f>
        <v>#REF!</v>
      </c>
      <c r="L163" s="212" t="e">
        <f>#REF!+#REF!</f>
        <v>#REF!</v>
      </c>
      <c r="M163" s="212" t="e">
        <f>#REF!+#REF!</f>
        <v>#REF!</v>
      </c>
      <c r="N163" s="212" t="e">
        <f>#REF!+#REF!</f>
        <v>#REF!</v>
      </c>
    </row>
    <row r="164" spans="1:14" ht="63.75" customHeight="1" hidden="1">
      <c r="A164" s="5" t="s">
        <v>121</v>
      </c>
      <c r="B164" s="11" t="s">
        <v>19</v>
      </c>
      <c r="C164" s="11" t="s">
        <v>74</v>
      </c>
      <c r="D164" s="54" t="e">
        <f>#REF!+#REF!</f>
        <v>#REF!</v>
      </c>
      <c r="E164" s="54"/>
      <c r="F164" s="54"/>
      <c r="H164" s="54" t="e">
        <f>#REF!+#REF!</f>
        <v>#REF!</v>
      </c>
      <c r="J164" s="96" t="e">
        <f>#REF!+#REF!</f>
        <v>#REF!</v>
      </c>
      <c r="K164" s="96" t="e">
        <f>#REF!+#REF!</f>
        <v>#REF!</v>
      </c>
      <c r="L164" s="212" t="e">
        <f>#REF!+#REF!</f>
        <v>#REF!</v>
      </c>
      <c r="M164" s="212" t="e">
        <f>#REF!+#REF!</f>
        <v>#REF!</v>
      </c>
      <c r="N164" s="212" t="e">
        <f>#REF!+#REF!</f>
        <v>#REF!</v>
      </c>
    </row>
    <row r="165" spans="1:14" ht="15" customHeight="1" hidden="1">
      <c r="A165" s="6" t="s">
        <v>24</v>
      </c>
      <c r="B165" s="11" t="s">
        <v>19</v>
      </c>
      <c r="C165" s="11" t="s">
        <v>74</v>
      </c>
      <c r="D165" s="54" t="e">
        <f>#REF!+#REF!</f>
        <v>#REF!</v>
      </c>
      <c r="E165" s="54"/>
      <c r="F165" s="54"/>
      <c r="H165" s="54" t="e">
        <f>#REF!+#REF!</f>
        <v>#REF!</v>
      </c>
      <c r="J165" s="96" t="e">
        <f>#REF!+#REF!</f>
        <v>#REF!</v>
      </c>
      <c r="K165" s="96" t="e">
        <f>#REF!+#REF!</f>
        <v>#REF!</v>
      </c>
      <c r="L165" s="212" t="e">
        <f>#REF!+#REF!</f>
        <v>#REF!</v>
      </c>
      <c r="M165" s="212" t="e">
        <f>#REF!+#REF!</f>
        <v>#REF!</v>
      </c>
      <c r="N165" s="212" t="e">
        <f>#REF!+#REF!</f>
        <v>#REF!</v>
      </c>
    </row>
    <row r="166" spans="1:14" ht="14.25">
      <c r="A166" s="4" t="s">
        <v>31</v>
      </c>
      <c r="B166" s="11" t="s">
        <v>148</v>
      </c>
      <c r="C166" s="11" t="s">
        <v>188</v>
      </c>
      <c r="D166" s="54">
        <f>'[2]15 (3)'!H435</f>
        <v>731</v>
      </c>
      <c r="E166" s="54">
        <v>731</v>
      </c>
      <c r="F166" s="54"/>
      <c r="H166" s="54" t="e">
        <f>'15 (3)'!I439</f>
        <v>#REF!</v>
      </c>
      <c r="J166" s="96" t="e">
        <f>'15 (3)'!K439</f>
        <v>#REF!</v>
      </c>
      <c r="K166" s="96">
        <f>'15 (3)'!L439</f>
        <v>759.8</v>
      </c>
      <c r="L166" s="212">
        <f>'15 (3)'!M439</f>
        <v>808.9</v>
      </c>
      <c r="M166" s="212">
        <f>'15 (3)'!N439</f>
        <v>808.9</v>
      </c>
      <c r="N166" s="264">
        <f>M166/L166*100</f>
        <v>100</v>
      </c>
    </row>
    <row r="167" spans="1:14" ht="51" customHeight="1" hidden="1">
      <c r="A167" s="4"/>
      <c r="B167" s="11"/>
      <c r="C167" s="11"/>
      <c r="D167" s="54">
        <f>'[2]15 (3)'!H312</f>
        <v>200</v>
      </c>
      <c r="E167" s="54">
        <v>200</v>
      </c>
      <c r="F167" s="54"/>
      <c r="H167" s="54">
        <f>'[2]15 (3)'!I312</f>
        <v>200</v>
      </c>
      <c r="J167" s="96" t="e">
        <f>'[2]15 (3)'!K312</f>
        <v>#REF!</v>
      </c>
      <c r="K167" s="96" t="e">
        <f>'[2]15 (3)'!M312</f>
        <v>#REF!</v>
      </c>
      <c r="L167" s="212" t="e">
        <f>'[2]15 (3)'!N312</f>
        <v>#REF!</v>
      </c>
      <c r="M167" s="212" t="e">
        <f>'[2]15 (3)'!O312</f>
        <v>#REF!</v>
      </c>
      <c r="N167" s="212" t="e">
        <f>'[2]15 (3)'!P312</f>
        <v>#REF!</v>
      </c>
    </row>
    <row r="168" spans="1:14" ht="15" customHeight="1" hidden="1">
      <c r="A168" s="5" t="s">
        <v>53</v>
      </c>
      <c r="B168" s="11" t="s">
        <v>18</v>
      </c>
      <c r="C168" s="11" t="s">
        <v>45</v>
      </c>
      <c r="D168" s="54" t="e">
        <f>#REF!+#REF!</f>
        <v>#REF!</v>
      </c>
      <c r="E168" s="54"/>
      <c r="F168" s="54"/>
      <c r="H168" s="54" t="e">
        <f>#REF!+#REF!</f>
        <v>#REF!</v>
      </c>
      <c r="J168" s="96" t="e">
        <f>#REF!+#REF!</f>
        <v>#REF!</v>
      </c>
      <c r="K168" s="96" t="e">
        <f>#REF!+#REF!</f>
        <v>#REF!</v>
      </c>
      <c r="L168" s="212" t="e">
        <f>#REF!+#REF!</f>
        <v>#REF!</v>
      </c>
      <c r="M168" s="212" t="e">
        <f>#REF!+#REF!</f>
        <v>#REF!</v>
      </c>
      <c r="N168" s="212" t="e">
        <f>#REF!+#REF!</f>
        <v>#REF!</v>
      </c>
    </row>
    <row r="169" spans="1:14" ht="25.5" customHeight="1" hidden="1">
      <c r="A169" s="5" t="s">
        <v>138</v>
      </c>
      <c r="B169" s="11" t="s">
        <v>18</v>
      </c>
      <c r="C169" s="11" t="s">
        <v>45</v>
      </c>
      <c r="D169" s="54" t="e">
        <f>#REF!+#REF!</f>
        <v>#REF!</v>
      </c>
      <c r="E169" s="54"/>
      <c r="F169" s="54"/>
      <c r="H169" s="54" t="e">
        <f>#REF!+#REF!</f>
        <v>#REF!</v>
      </c>
      <c r="J169" s="96" t="e">
        <f>#REF!+#REF!</f>
        <v>#REF!</v>
      </c>
      <c r="K169" s="96" t="e">
        <f>#REF!+#REF!</f>
        <v>#REF!</v>
      </c>
      <c r="L169" s="212" t="e">
        <f>#REF!+#REF!</f>
        <v>#REF!</v>
      </c>
      <c r="M169" s="212" t="e">
        <f>#REF!+#REF!</f>
        <v>#REF!</v>
      </c>
      <c r="N169" s="212" t="e">
        <f>#REF!+#REF!</f>
        <v>#REF!</v>
      </c>
    </row>
    <row r="170" spans="1:14" s="87" customFormat="1" ht="15.75" customHeight="1">
      <c r="A170" s="91" t="s">
        <v>30</v>
      </c>
      <c r="B170" s="89" t="s">
        <v>176</v>
      </c>
      <c r="C170" s="89"/>
      <c r="D170" s="92"/>
      <c r="E170" s="92"/>
      <c r="F170" s="92"/>
      <c r="H170" s="92">
        <f aca="true" t="shared" si="9" ref="H170:N170">H171</f>
        <v>200</v>
      </c>
      <c r="I170" s="92">
        <f t="shared" si="9"/>
        <v>200</v>
      </c>
      <c r="J170" s="98">
        <f t="shared" si="9"/>
        <v>200</v>
      </c>
      <c r="K170" s="98">
        <f t="shared" si="9"/>
        <v>200</v>
      </c>
      <c r="L170" s="230">
        <f t="shared" si="9"/>
        <v>200</v>
      </c>
      <c r="M170" s="230">
        <f t="shared" si="9"/>
        <v>200</v>
      </c>
      <c r="N170" s="263">
        <f>M170/L170*100</f>
        <v>100</v>
      </c>
    </row>
    <row r="171" spans="1:14" ht="14.25" customHeight="1">
      <c r="A171" s="4" t="s">
        <v>256</v>
      </c>
      <c r="B171" s="12" t="s">
        <v>176</v>
      </c>
      <c r="C171" s="12" t="s">
        <v>244</v>
      </c>
      <c r="D171" s="54">
        <f>'[2]15 (3)'!H317</f>
        <v>144.5</v>
      </c>
      <c r="E171" s="54">
        <v>144.5</v>
      </c>
      <c r="F171" s="54"/>
      <c r="H171" s="54">
        <f>'15 (3)'!I444</f>
        <v>200</v>
      </c>
      <c r="I171" s="63">
        <f>H171</f>
        <v>200</v>
      </c>
      <c r="J171" s="96">
        <f>'15 (3)'!K444</f>
        <v>200</v>
      </c>
      <c r="K171" s="96">
        <f>'15 (3)'!L444</f>
        <v>200</v>
      </c>
      <c r="L171" s="212">
        <f>'15 (3)'!M444</f>
        <v>200</v>
      </c>
      <c r="M171" s="212">
        <f>'15 (3)'!N444</f>
        <v>200</v>
      </c>
      <c r="N171" s="264">
        <f>M171/L171*100</f>
        <v>100</v>
      </c>
    </row>
    <row r="172" spans="1:14" s="87" customFormat="1" ht="49.5" customHeight="1">
      <c r="A172" s="88" t="s">
        <v>279</v>
      </c>
      <c r="B172" s="89" t="s">
        <v>258</v>
      </c>
      <c r="C172" s="89">
        <v>0</v>
      </c>
      <c r="D172" s="90" t="e">
        <f>D173+#REF!+#REF!</f>
        <v>#REF!</v>
      </c>
      <c r="E172" s="90" t="e">
        <f>E173+E178+#REF!+#REF!</f>
        <v>#REF!</v>
      </c>
      <c r="F172" s="90"/>
      <c r="H172" s="90" t="e">
        <f>H173+H178</f>
        <v>#REF!</v>
      </c>
      <c r="I172" s="90">
        <f>I173+I178</f>
        <v>1500</v>
      </c>
      <c r="J172" s="95" t="e">
        <f>J173+J178</f>
        <v>#REF!</v>
      </c>
      <c r="K172" s="95" t="e">
        <f>K173+K178+K179</f>
        <v>#REF!</v>
      </c>
      <c r="L172" s="229">
        <f>L173+L178+L179</f>
        <v>9985.99</v>
      </c>
      <c r="M172" s="229">
        <f>M173+M178+M179</f>
        <v>9985.99</v>
      </c>
      <c r="N172" s="263">
        <f>M172/L172*100</f>
        <v>100</v>
      </c>
    </row>
    <row r="173" spans="1:14" ht="27" customHeight="1">
      <c r="A173" s="4" t="s">
        <v>259</v>
      </c>
      <c r="B173" s="11" t="s">
        <v>258</v>
      </c>
      <c r="C173" s="11" t="s">
        <v>260</v>
      </c>
      <c r="D173" s="54">
        <f>'[2]15 (3)'!H451</f>
        <v>9704</v>
      </c>
      <c r="E173" s="54">
        <v>10528.6</v>
      </c>
      <c r="F173" s="54"/>
      <c r="H173" s="54" t="e">
        <f>'15 (3)'!I449</f>
        <v>#REF!</v>
      </c>
      <c r="J173" s="96" t="e">
        <f>'15 (3)'!K449</f>
        <v>#REF!</v>
      </c>
      <c r="K173" s="96" t="e">
        <f>'15 (3)'!L449</f>
        <v>#REF!</v>
      </c>
      <c r="L173" s="212">
        <f>'15 (3)'!M449</f>
        <v>8817.1</v>
      </c>
      <c r="M173" s="212">
        <f>'15 (3)'!N449</f>
        <v>8817.1</v>
      </c>
      <c r="N173" s="264">
        <f aca="true" t="shared" si="10" ref="N173:N179">M173/L173*100</f>
        <v>100</v>
      </c>
    </row>
    <row r="174" spans="1:14" ht="33" customHeight="1" hidden="1">
      <c r="A174" s="5" t="s">
        <v>131</v>
      </c>
      <c r="B174" s="12" t="s">
        <v>127</v>
      </c>
      <c r="C174" s="12" t="s">
        <v>71</v>
      </c>
      <c r="D174" s="54" t="e">
        <f>#REF!+#REF!</f>
        <v>#REF!</v>
      </c>
      <c r="E174" s="54"/>
      <c r="F174" s="54"/>
      <c r="H174" s="54" t="e">
        <f>#REF!+#REF!</f>
        <v>#REF!</v>
      </c>
      <c r="J174" s="96" t="e">
        <f>#REF!+#REF!</f>
        <v>#REF!</v>
      </c>
      <c r="K174" s="96" t="e">
        <f>#REF!+#REF!</f>
        <v>#REF!</v>
      </c>
      <c r="L174" s="212" t="e">
        <f>#REF!+#REF!</f>
        <v>#REF!</v>
      </c>
      <c r="M174" s="212" t="e">
        <f>#REF!+#REF!</f>
        <v>#REF!</v>
      </c>
      <c r="N174" s="264" t="e">
        <f t="shared" si="10"/>
        <v>#REF!</v>
      </c>
    </row>
    <row r="175" spans="1:14" ht="33" customHeight="1" hidden="1">
      <c r="A175" s="5" t="s">
        <v>131</v>
      </c>
      <c r="B175" s="12" t="s">
        <v>127</v>
      </c>
      <c r="C175" s="12" t="s">
        <v>71</v>
      </c>
      <c r="D175" s="54" t="e">
        <f>#REF!+#REF!</f>
        <v>#REF!</v>
      </c>
      <c r="E175" s="54"/>
      <c r="F175" s="54"/>
      <c r="H175" s="54" t="e">
        <f>#REF!+#REF!</f>
        <v>#REF!</v>
      </c>
      <c r="J175" s="96" t="e">
        <f>#REF!+#REF!</f>
        <v>#REF!</v>
      </c>
      <c r="K175" s="96" t="e">
        <f>#REF!+#REF!</f>
        <v>#REF!</v>
      </c>
      <c r="L175" s="212" t="e">
        <f>#REF!+#REF!</f>
        <v>#REF!</v>
      </c>
      <c r="M175" s="212" t="e">
        <f>#REF!+#REF!</f>
        <v>#REF!</v>
      </c>
      <c r="N175" s="264" t="e">
        <f t="shared" si="10"/>
        <v>#REF!</v>
      </c>
    </row>
    <row r="176" spans="1:14" ht="33" customHeight="1" hidden="1">
      <c r="A176" s="5" t="s">
        <v>132</v>
      </c>
      <c r="B176" s="12" t="s">
        <v>127</v>
      </c>
      <c r="C176" s="12" t="s">
        <v>71</v>
      </c>
      <c r="D176" s="54" t="e">
        <f>#REF!+#REF!</f>
        <v>#REF!</v>
      </c>
      <c r="E176" s="54"/>
      <c r="F176" s="54"/>
      <c r="H176" s="54" t="e">
        <f>#REF!+#REF!</f>
        <v>#REF!</v>
      </c>
      <c r="J176" s="96" t="e">
        <f>#REF!+#REF!</f>
        <v>#REF!</v>
      </c>
      <c r="K176" s="96" t="e">
        <f>#REF!+#REF!</f>
        <v>#REF!</v>
      </c>
      <c r="L176" s="212" t="e">
        <f>#REF!+#REF!</f>
        <v>#REF!</v>
      </c>
      <c r="M176" s="212" t="e">
        <f>#REF!+#REF!</f>
        <v>#REF!</v>
      </c>
      <c r="N176" s="264" t="e">
        <f t="shared" si="10"/>
        <v>#REF!</v>
      </c>
    </row>
    <row r="177" spans="1:14" ht="33" customHeight="1" hidden="1">
      <c r="A177" s="6" t="s">
        <v>133</v>
      </c>
      <c r="B177" s="12" t="s">
        <v>127</v>
      </c>
      <c r="C177" s="12" t="s">
        <v>71</v>
      </c>
      <c r="D177" s="54" t="e">
        <f>#REF!+#REF!</f>
        <v>#REF!</v>
      </c>
      <c r="E177" s="54"/>
      <c r="F177" s="54"/>
      <c r="H177" s="54" t="e">
        <f>#REF!+#REF!</f>
        <v>#REF!</v>
      </c>
      <c r="J177" s="96" t="e">
        <f>#REF!+#REF!</f>
        <v>#REF!</v>
      </c>
      <c r="K177" s="96" t="e">
        <f>#REF!+#REF!</f>
        <v>#REF!</v>
      </c>
      <c r="L177" s="212" t="e">
        <f>#REF!+#REF!</f>
        <v>#REF!</v>
      </c>
      <c r="M177" s="212" t="e">
        <f>#REF!+#REF!</f>
        <v>#REF!</v>
      </c>
      <c r="N177" s="264" t="e">
        <f t="shared" si="10"/>
        <v>#REF!</v>
      </c>
    </row>
    <row r="178" spans="1:14" ht="15.75" customHeight="1">
      <c r="A178" s="5" t="s">
        <v>261</v>
      </c>
      <c r="B178" s="11" t="s">
        <v>258</v>
      </c>
      <c r="C178" s="11" t="s">
        <v>262</v>
      </c>
      <c r="D178" s="54"/>
      <c r="E178" s="54">
        <v>366</v>
      </c>
      <c r="F178" s="54"/>
      <c r="H178" s="54">
        <f>'15 (3)'!I455</f>
        <v>1500</v>
      </c>
      <c r="I178" s="63">
        <f>H178</f>
        <v>1500</v>
      </c>
      <c r="J178" s="96">
        <f>'15 (3)'!K455</f>
        <v>1500</v>
      </c>
      <c r="K178" s="96">
        <f>'15 (3)'!L455</f>
        <v>600</v>
      </c>
      <c r="L178" s="212">
        <f>'15 (3)'!M455</f>
        <v>310</v>
      </c>
      <c r="M178" s="212">
        <f>'15 (3)'!N455</f>
        <v>310</v>
      </c>
      <c r="N178" s="264">
        <f t="shared" si="10"/>
        <v>100</v>
      </c>
    </row>
    <row r="179" spans="1:14" ht="16.5" customHeight="1">
      <c r="A179" s="5" t="s">
        <v>276</v>
      </c>
      <c r="B179" s="11" t="s">
        <v>258</v>
      </c>
      <c r="C179" s="11" t="s">
        <v>274</v>
      </c>
      <c r="D179" s="54"/>
      <c r="E179" s="54"/>
      <c r="F179" s="54"/>
      <c r="H179" s="54"/>
      <c r="J179" s="96"/>
      <c r="K179" s="96">
        <f>'15 (3)'!L459</f>
        <v>0</v>
      </c>
      <c r="L179" s="212">
        <f>'15 (3)'!M459</f>
        <v>858.89</v>
      </c>
      <c r="M179" s="212">
        <f>'15 (3)'!N459</f>
        <v>858.89</v>
      </c>
      <c r="N179" s="264">
        <f t="shared" si="10"/>
        <v>100</v>
      </c>
    </row>
    <row r="180" spans="1:14" ht="25.5" customHeight="1" hidden="1">
      <c r="A180" s="5" t="s">
        <v>135</v>
      </c>
      <c r="B180" s="12" t="s">
        <v>127</v>
      </c>
      <c r="C180" s="12" t="s">
        <v>72</v>
      </c>
      <c r="D180" s="54"/>
      <c r="E180" s="54"/>
      <c r="F180" s="54"/>
      <c r="H180" s="54"/>
      <c r="J180" s="96"/>
      <c r="K180" s="96"/>
      <c r="L180" s="206"/>
      <c r="M180" s="206"/>
      <c r="N180" s="206"/>
    </row>
    <row r="181" spans="1:14" ht="0.75" customHeight="1" hidden="1">
      <c r="A181" s="26" t="s">
        <v>136</v>
      </c>
      <c r="B181" s="27" t="s">
        <v>127</v>
      </c>
      <c r="C181" s="27" t="s">
        <v>72</v>
      </c>
      <c r="D181" s="54"/>
      <c r="E181" s="54"/>
      <c r="F181" s="54"/>
      <c r="H181" s="54"/>
      <c r="J181" s="96"/>
      <c r="K181" s="96"/>
      <c r="L181" s="206"/>
      <c r="M181" s="206"/>
      <c r="N181" s="206"/>
    </row>
    <row r="182" spans="1:14" ht="1.5" customHeight="1">
      <c r="A182" s="26"/>
      <c r="B182" s="27"/>
      <c r="C182" s="27"/>
      <c r="D182" s="54"/>
      <c r="E182" s="54"/>
      <c r="F182" s="54"/>
      <c r="H182" s="54"/>
      <c r="J182" s="96"/>
      <c r="K182" s="96"/>
      <c r="L182" s="206"/>
      <c r="M182" s="206"/>
      <c r="N182" s="206"/>
    </row>
    <row r="183" spans="1:14" s="24" customFormat="1" ht="15.75">
      <c r="A183" s="28" t="s">
        <v>149</v>
      </c>
      <c r="B183" s="29"/>
      <c r="C183" s="29"/>
      <c r="D183" s="52" t="e">
        <f>D17+D56+D60+D65+D69+D74+D102+D117+D140+D172</f>
        <v>#REF!</v>
      </c>
      <c r="E183" s="52" t="e">
        <f>E172+E140+E117+E102+E74+E69+E65+E60+E56+E17</f>
        <v>#REF!</v>
      </c>
      <c r="F183" s="52"/>
      <c r="H183" s="52" t="e">
        <f>H17+H56+H60+H65+H69+H74+H102+H117+H140+H172+H170+H54</f>
        <v>#REF!</v>
      </c>
      <c r="I183" s="52" t="e">
        <f>I17+I56+I60+I65+I69+I74+I102+I117+I140+I172+I170</f>
        <v>#REF!</v>
      </c>
      <c r="J183" s="99" t="e">
        <f>J17+J56+J60+J65+J69+J74+J102+J117+J140+J172+J170+J54</f>
        <v>#REF!</v>
      </c>
      <c r="K183" s="99" t="e">
        <f>K17+K56+K60+K65+K69+K74+K102+K117+K140+K172+K170+K54</f>
        <v>#REF!</v>
      </c>
      <c r="L183" s="211">
        <f>L17+L56+L60+L65+L69+L74+L102+L117+L140+L172+L170+L54</f>
        <v>308073.22118</v>
      </c>
      <c r="M183" s="211">
        <f>M17+M56+M60+M65+M69+M74+M102+M117+M140+M172+M170+M54</f>
        <v>310575.01015</v>
      </c>
      <c r="N183" s="263">
        <f>M183/L183*100</f>
        <v>100.81207609035849</v>
      </c>
    </row>
    <row r="184" spans="4:11" ht="12.75">
      <c r="D184" s="63"/>
      <c r="E184" s="63"/>
      <c r="F184" s="63"/>
      <c r="H184" s="63"/>
      <c r="J184" s="100"/>
      <c r="K184" s="100"/>
    </row>
    <row r="185" spans="8:11" ht="12.75">
      <c r="H185" s="20" t="e">
        <f>'15 (3)'!I477</f>
        <v>#REF!</v>
      </c>
      <c r="J185" s="94" t="e">
        <f>'15 (3)'!K477</f>
        <v>#REF!</v>
      </c>
      <c r="K185" s="94" t="e">
        <f>'15 (3)'!L477</f>
        <v>#REF!</v>
      </c>
    </row>
    <row r="186" spans="8:11" ht="12.75">
      <c r="H186" s="63" t="e">
        <f>'15 (3)'!I477-'15 (4)'!H183</f>
        <v>#REF!</v>
      </c>
      <c r="J186" s="100" t="e">
        <f>'15 (3)'!K477-'15 (4)'!J183</f>
        <v>#REF!</v>
      </c>
      <c r="K186" s="100" t="e">
        <f>'15 (3)'!L477-'15 (4)'!K183</f>
        <v>#REF!</v>
      </c>
    </row>
  </sheetData>
  <sheetProtection/>
  <mergeCells count="19">
    <mergeCell ref="Q5:U5"/>
    <mergeCell ref="Q6:U7"/>
    <mergeCell ref="K13:K16"/>
    <mergeCell ref="M13:M16"/>
    <mergeCell ref="B5:N5"/>
    <mergeCell ref="B6:N7"/>
    <mergeCell ref="A9:N9"/>
    <mergeCell ref="H13:H16"/>
    <mergeCell ref="L13:L16"/>
    <mergeCell ref="D13:D16"/>
    <mergeCell ref="F13:F16"/>
    <mergeCell ref="A10:C10"/>
    <mergeCell ref="N13:N16"/>
    <mergeCell ref="A13:A16"/>
    <mergeCell ref="B13:B16"/>
    <mergeCell ref="E13:E15"/>
    <mergeCell ref="C13:C16"/>
    <mergeCell ref="J13:J16"/>
    <mergeCell ref="I13:I16"/>
  </mergeCells>
  <printOptions horizontalCentered="1"/>
  <pageMargins left="0.4330708661417323" right="0.15748031496062992" top="0.07874015748031496" bottom="0" header="0.15748031496062992" footer="0.5118110236220472"/>
  <pageSetup blackAndWhite="1" fitToHeight="1" fitToWidth="1" horizontalDpi="600" verticalDpi="600" orientation="portrait" paperSize="9" scale="6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485"/>
  <sheetViews>
    <sheetView showZeros="0" zoomScale="85" zoomScaleNormal="85" zoomScaleSheetLayoutView="85" zoomScalePageLayoutView="0" workbookViewId="0" topLeftCell="A470">
      <selection activeCell="A3" sqref="A3:IV3"/>
    </sheetView>
  </sheetViews>
  <sheetFormatPr defaultColWidth="9.00390625" defaultRowHeight="12.75" outlineLevelRow="1"/>
  <cols>
    <col min="1" max="1" width="54.625" style="20" customWidth="1"/>
    <col min="2" max="2" width="3.25390625" style="20" hidden="1" customWidth="1"/>
    <col min="3" max="3" width="5.375" style="22" customWidth="1"/>
    <col min="4" max="4" width="5.625" style="22" customWidth="1"/>
    <col min="5" max="5" width="8.75390625" style="22" customWidth="1"/>
    <col min="6" max="7" width="4.75390625" style="22" customWidth="1"/>
    <col min="8" max="8" width="10.125" style="20" hidden="1" customWidth="1"/>
    <col min="9" max="12" width="11.375" style="20" hidden="1" customWidth="1"/>
    <col min="13" max="13" width="14.75390625" style="20" customWidth="1"/>
    <col min="14" max="14" width="14.875" style="20" customWidth="1"/>
    <col min="15" max="15" width="12.375" style="139" customWidth="1"/>
    <col min="16" max="16384" width="9.125" style="20" customWidth="1"/>
  </cols>
  <sheetData>
    <row r="1" spans="1:15" ht="25.5" customHeight="1">
      <c r="A1" s="18"/>
      <c r="B1" s="18"/>
      <c r="C1" s="250" t="s">
        <v>454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ht="9.75" customHeight="1">
      <c r="A2" s="18"/>
      <c r="B2" s="18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spans="1:15" ht="39.75" customHeight="1" hidden="1">
      <c r="A3" s="18"/>
      <c r="B3" s="18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7" ht="18.75" customHeight="1">
      <c r="A4" s="18"/>
      <c r="B4" s="18"/>
      <c r="C4" s="19"/>
      <c r="D4" s="19"/>
      <c r="E4" s="19"/>
      <c r="F4" s="19"/>
      <c r="G4" s="19"/>
    </row>
    <row r="5" spans="1:7" ht="18.75" customHeight="1" hidden="1">
      <c r="A5" s="18"/>
      <c r="B5" s="18"/>
      <c r="C5" s="19"/>
      <c r="D5" s="19"/>
      <c r="E5" s="19"/>
      <c r="F5" s="19"/>
      <c r="G5" s="19"/>
    </row>
    <row r="6" spans="1:12" ht="23.25" customHeight="1" hidden="1">
      <c r="A6" s="18"/>
      <c r="B6" s="18"/>
      <c r="C6" s="19"/>
      <c r="D6" s="19"/>
      <c r="E6" s="19"/>
      <c r="F6" s="19"/>
      <c r="G6" s="254"/>
      <c r="H6" s="254"/>
      <c r="I6" s="254"/>
      <c r="J6" s="254"/>
      <c r="K6" s="254"/>
      <c r="L6" s="254"/>
    </row>
    <row r="7" spans="1:12" ht="23.25" customHeight="1" hidden="1">
      <c r="A7" s="18"/>
      <c r="B7" s="18"/>
      <c r="C7" s="19"/>
      <c r="D7" s="19"/>
      <c r="E7" s="19"/>
      <c r="F7" s="19"/>
      <c r="G7" s="254"/>
      <c r="H7" s="254"/>
      <c r="I7" s="254"/>
      <c r="J7" s="254"/>
      <c r="K7" s="254"/>
      <c r="L7" s="254"/>
    </row>
    <row r="8" spans="1:12" ht="42" customHeight="1" hidden="1">
      <c r="A8" s="1"/>
      <c r="B8" s="1"/>
      <c r="C8" s="14"/>
      <c r="D8" s="14"/>
      <c r="E8" s="14"/>
      <c r="F8" s="14"/>
      <c r="G8" s="254"/>
      <c r="H8" s="254"/>
      <c r="I8" s="254"/>
      <c r="J8" s="254"/>
      <c r="K8" s="254"/>
      <c r="L8" s="254"/>
    </row>
    <row r="9" spans="1:15" ht="56.25" customHeight="1" outlineLevel="1">
      <c r="A9" s="253" t="s">
        <v>393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</row>
    <row r="10" spans="1:7" ht="13.5" customHeight="1">
      <c r="A10" s="17"/>
      <c r="B10" s="17"/>
      <c r="C10" s="17"/>
      <c r="D10" s="17"/>
      <c r="E10" s="17"/>
      <c r="F10" s="17"/>
      <c r="G10" s="17"/>
    </row>
    <row r="11" spans="1:14" ht="13.5" customHeight="1">
      <c r="A11" s="17"/>
      <c r="B11" s="17"/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 t="s">
        <v>286</v>
      </c>
      <c r="N11" s="18"/>
    </row>
    <row r="12" spans="1:15" s="21" customFormat="1" ht="13.5" customHeight="1">
      <c r="A12" s="255" t="s">
        <v>32</v>
      </c>
      <c r="B12" s="73"/>
      <c r="C12" s="242" t="s">
        <v>33</v>
      </c>
      <c r="D12" s="242" t="s">
        <v>34</v>
      </c>
      <c r="E12" s="242" t="s">
        <v>91</v>
      </c>
      <c r="F12" s="242" t="s">
        <v>21</v>
      </c>
      <c r="G12" s="242"/>
      <c r="H12" s="232" t="s">
        <v>192</v>
      </c>
      <c r="I12" s="232" t="s">
        <v>193</v>
      </c>
      <c r="J12" s="232" t="s">
        <v>194</v>
      </c>
      <c r="K12" s="232" t="s">
        <v>193</v>
      </c>
      <c r="L12" s="232" t="s">
        <v>192</v>
      </c>
      <c r="M12" s="232" t="s">
        <v>192</v>
      </c>
      <c r="N12" s="232" t="s">
        <v>449</v>
      </c>
      <c r="O12" s="232" t="s">
        <v>450</v>
      </c>
    </row>
    <row r="13" spans="1:15" s="21" customFormat="1" ht="12.75" customHeight="1">
      <c r="A13" s="256"/>
      <c r="B13" s="74"/>
      <c r="C13" s="243"/>
      <c r="D13" s="243"/>
      <c r="E13" s="243"/>
      <c r="F13" s="243"/>
      <c r="G13" s="243"/>
      <c r="H13" s="233"/>
      <c r="I13" s="233"/>
      <c r="J13" s="233"/>
      <c r="K13" s="233"/>
      <c r="L13" s="233"/>
      <c r="M13" s="233"/>
      <c r="N13" s="233"/>
      <c r="O13" s="233"/>
    </row>
    <row r="14" spans="1:15" s="21" customFormat="1" ht="13.5" customHeight="1">
      <c r="A14" s="256"/>
      <c r="B14" s="74"/>
      <c r="C14" s="243"/>
      <c r="D14" s="243"/>
      <c r="E14" s="243"/>
      <c r="F14" s="243"/>
      <c r="G14" s="243"/>
      <c r="H14" s="233"/>
      <c r="I14" s="233"/>
      <c r="J14" s="233"/>
      <c r="K14" s="233"/>
      <c r="L14" s="233"/>
      <c r="M14" s="233"/>
      <c r="N14" s="233"/>
      <c r="O14" s="233"/>
    </row>
    <row r="15" spans="1:15" s="21" customFormat="1" ht="25.5" customHeight="1">
      <c r="A15" s="257"/>
      <c r="B15" s="75"/>
      <c r="C15" s="244"/>
      <c r="D15" s="244"/>
      <c r="E15" s="244"/>
      <c r="F15" s="244"/>
      <c r="G15" s="244"/>
      <c r="H15" s="234"/>
      <c r="I15" s="234"/>
      <c r="J15" s="234"/>
      <c r="K15" s="234"/>
      <c r="L15" s="234"/>
      <c r="M15" s="234"/>
      <c r="N15" s="234"/>
      <c r="O15" s="234"/>
    </row>
    <row r="16" spans="1:16" ht="14.25">
      <c r="A16" s="3" t="s">
        <v>70</v>
      </c>
      <c r="B16" s="3"/>
      <c r="C16" s="10" t="s">
        <v>140</v>
      </c>
      <c r="D16" s="10"/>
      <c r="E16" s="10"/>
      <c r="F16" s="10"/>
      <c r="G16" s="10"/>
      <c r="H16" s="62" t="e">
        <f>H17+H22+H27+H32+H37+H43</f>
        <v>#REF!</v>
      </c>
      <c r="I16" s="62" t="e">
        <f>I17+I22+I27+I32+I37+I43+#REF!</f>
        <v>#REF!</v>
      </c>
      <c r="J16" s="56" t="e">
        <f aca="true" t="shared" si="0" ref="J16:J85">I16-H16</f>
        <v>#REF!</v>
      </c>
      <c r="K16" s="62" t="e">
        <f>K17+K22+K27+K32+K37+K43+#REF!</f>
        <v>#REF!</v>
      </c>
      <c r="L16" s="62" t="e">
        <f>L17+L22+L27+L32+L37+L43+#REF!</f>
        <v>#REF!</v>
      </c>
      <c r="M16" s="214">
        <f>M17+M22+M27+M32+M37+M43</f>
        <v>29957.129</v>
      </c>
      <c r="N16" s="214">
        <f>N17+N22+N27+N32+N37+N43</f>
        <v>29514.488729999997</v>
      </c>
      <c r="O16" s="262">
        <f>N16/M16*100</f>
        <v>98.52242092358048</v>
      </c>
      <c r="P16" s="146"/>
    </row>
    <row r="17" spans="1:16" ht="42.75">
      <c r="A17" s="3" t="s">
        <v>99</v>
      </c>
      <c r="B17" s="3"/>
      <c r="C17" s="10" t="s">
        <v>140</v>
      </c>
      <c r="D17" s="10" t="s">
        <v>170</v>
      </c>
      <c r="E17" s="10"/>
      <c r="F17" s="10"/>
      <c r="G17" s="10"/>
      <c r="H17" s="62">
        <f aca="true" t="shared" si="1" ref="H17:O19">H18</f>
        <v>1072</v>
      </c>
      <c r="I17" s="62">
        <f t="shared" si="1"/>
        <v>977</v>
      </c>
      <c r="J17" s="56">
        <f t="shared" si="0"/>
        <v>-95</v>
      </c>
      <c r="K17" s="62">
        <f t="shared" si="1"/>
        <v>977</v>
      </c>
      <c r="L17" s="62">
        <f t="shared" si="1"/>
        <v>1269.9</v>
      </c>
      <c r="M17" s="214">
        <f t="shared" si="1"/>
        <v>1351.241</v>
      </c>
      <c r="N17" s="214">
        <f t="shared" si="1"/>
        <v>1349.83563</v>
      </c>
      <c r="O17" s="262">
        <f aca="true" t="shared" si="2" ref="O17:O80">N17/M17*100</f>
        <v>99.89599412688041</v>
      </c>
      <c r="P17" s="146"/>
    </row>
    <row r="18" spans="1:16" ht="38.25">
      <c r="A18" s="5" t="s">
        <v>1</v>
      </c>
      <c r="B18" s="5"/>
      <c r="C18" s="10" t="s">
        <v>140</v>
      </c>
      <c r="D18" s="10" t="s">
        <v>170</v>
      </c>
      <c r="E18" s="10" t="s">
        <v>0</v>
      </c>
      <c r="F18" s="10"/>
      <c r="G18" s="10"/>
      <c r="H18" s="62">
        <f t="shared" si="1"/>
        <v>1072</v>
      </c>
      <c r="I18" s="62">
        <f t="shared" si="1"/>
        <v>977</v>
      </c>
      <c r="J18" s="56">
        <f t="shared" si="0"/>
        <v>-95</v>
      </c>
      <c r="K18" s="62">
        <f t="shared" si="1"/>
        <v>977</v>
      </c>
      <c r="L18" s="62">
        <f t="shared" si="1"/>
        <v>1269.9</v>
      </c>
      <c r="M18" s="214">
        <f t="shared" si="1"/>
        <v>1351.241</v>
      </c>
      <c r="N18" s="214">
        <f t="shared" si="1"/>
        <v>1349.83563</v>
      </c>
      <c r="O18" s="262">
        <f t="shared" si="2"/>
        <v>99.89599412688041</v>
      </c>
      <c r="P18" s="146"/>
    </row>
    <row r="19" spans="1:16" ht="14.25">
      <c r="A19" s="3" t="s">
        <v>100</v>
      </c>
      <c r="B19" s="3"/>
      <c r="C19" s="10" t="s">
        <v>140</v>
      </c>
      <c r="D19" s="10" t="s">
        <v>170</v>
      </c>
      <c r="E19" s="10" t="s">
        <v>98</v>
      </c>
      <c r="F19" s="10"/>
      <c r="G19" s="10"/>
      <c r="H19" s="62">
        <f t="shared" si="1"/>
        <v>1072</v>
      </c>
      <c r="I19" s="62">
        <f t="shared" si="1"/>
        <v>977</v>
      </c>
      <c r="J19" s="56">
        <f t="shared" si="0"/>
        <v>-95</v>
      </c>
      <c r="K19" s="62">
        <f t="shared" si="1"/>
        <v>977</v>
      </c>
      <c r="L19" s="62">
        <f t="shared" si="1"/>
        <v>1269.9</v>
      </c>
      <c r="M19" s="214">
        <f t="shared" si="1"/>
        <v>1351.241</v>
      </c>
      <c r="N19" s="214">
        <f t="shared" si="1"/>
        <v>1349.83563</v>
      </c>
      <c r="O19" s="262">
        <f t="shared" si="2"/>
        <v>99.89599412688041</v>
      </c>
      <c r="P19" s="146"/>
    </row>
    <row r="20" spans="1:16" ht="28.5">
      <c r="A20" s="114" t="s">
        <v>97</v>
      </c>
      <c r="B20" s="114"/>
      <c r="C20" s="11" t="s">
        <v>140</v>
      </c>
      <c r="D20" s="11" t="s">
        <v>170</v>
      </c>
      <c r="E20" s="11" t="s">
        <v>98</v>
      </c>
      <c r="F20" s="11" t="s">
        <v>323</v>
      </c>
      <c r="G20" s="10"/>
      <c r="H20" s="62">
        <f>H21</f>
        <v>1072</v>
      </c>
      <c r="I20" s="62">
        <f>'проект бюджета 2013'!I28</f>
        <v>977</v>
      </c>
      <c r="J20" s="56">
        <f t="shared" si="0"/>
        <v>-95</v>
      </c>
      <c r="K20" s="62">
        <f>'проект бюджета 2013'!K28</f>
        <v>977</v>
      </c>
      <c r="L20" s="62">
        <f>'проект бюджета 2013'!M28</f>
        <v>1269.9</v>
      </c>
      <c r="M20" s="214">
        <f>'проект бюджета 2013'!N28</f>
        <v>1351.241</v>
      </c>
      <c r="N20" s="214">
        <f>'проект бюджета 2013'!O28</f>
        <v>1349.83563</v>
      </c>
      <c r="O20" s="262">
        <f t="shared" si="2"/>
        <v>99.89599412688041</v>
      </c>
      <c r="P20" s="146"/>
    </row>
    <row r="21" spans="1:16" ht="14.25">
      <c r="A21" s="6" t="s">
        <v>209</v>
      </c>
      <c r="B21" s="3"/>
      <c r="C21" s="11" t="s">
        <v>140</v>
      </c>
      <c r="D21" s="11" t="s">
        <v>170</v>
      </c>
      <c r="E21" s="11" t="s">
        <v>98</v>
      </c>
      <c r="F21" s="11" t="s">
        <v>323</v>
      </c>
      <c r="G21" s="158" t="s">
        <v>212</v>
      </c>
      <c r="H21" s="78">
        <f>'проект бюджета 2013'!H29</f>
        <v>1072</v>
      </c>
      <c r="I21" s="78">
        <f>'проект бюджета 2013'!I29</f>
        <v>977</v>
      </c>
      <c r="J21" s="56">
        <f t="shared" si="0"/>
        <v>-95</v>
      </c>
      <c r="K21" s="78">
        <f>'проект бюджета 2013'!K29</f>
        <v>977</v>
      </c>
      <c r="L21" s="78">
        <f>'проект бюджета 2013'!M29</f>
        <v>1269.9</v>
      </c>
      <c r="M21" s="216">
        <f>'проект бюджета 2013'!N29</f>
        <v>1351.241</v>
      </c>
      <c r="N21" s="216">
        <f>'проект бюджета 2013'!O29</f>
        <v>1349.83563</v>
      </c>
      <c r="O21" s="262">
        <f t="shared" si="2"/>
        <v>99.89599412688041</v>
      </c>
      <c r="P21" s="146"/>
    </row>
    <row r="22" spans="1:16" ht="42.75">
      <c r="A22" s="4" t="s">
        <v>93</v>
      </c>
      <c r="B22" s="4"/>
      <c r="C22" s="11" t="s">
        <v>140</v>
      </c>
      <c r="D22" s="11" t="s">
        <v>168</v>
      </c>
      <c r="E22" s="11">
        <v>0</v>
      </c>
      <c r="F22" s="11">
        <v>0</v>
      </c>
      <c r="G22" s="11">
        <v>0</v>
      </c>
      <c r="H22" s="62" t="e">
        <f>H23+#REF!</f>
        <v>#REF!</v>
      </c>
      <c r="I22" s="62" t="e">
        <f>I23+#REF!</f>
        <v>#REF!</v>
      </c>
      <c r="J22" s="56" t="e">
        <f t="shared" si="0"/>
        <v>#REF!</v>
      </c>
      <c r="K22" s="62" t="e">
        <f>K23+#REF!+#REF!</f>
        <v>#REF!</v>
      </c>
      <c r="L22" s="62" t="e">
        <f>L23+#REF!+#REF!</f>
        <v>#REF!</v>
      </c>
      <c r="M22" s="214">
        <f>M23</f>
        <v>1895.1</v>
      </c>
      <c r="N22" s="214">
        <f>N23</f>
        <v>1894.8718</v>
      </c>
      <c r="O22" s="262">
        <f t="shared" si="2"/>
        <v>99.9879584190808</v>
      </c>
      <c r="P22" s="146"/>
    </row>
    <row r="23" spans="1:16" ht="38.25">
      <c r="A23" s="5" t="s">
        <v>1</v>
      </c>
      <c r="B23" s="5"/>
      <c r="C23" s="11" t="s">
        <v>140</v>
      </c>
      <c r="D23" s="11" t="s">
        <v>168</v>
      </c>
      <c r="E23" s="12" t="s">
        <v>0</v>
      </c>
      <c r="F23" s="12">
        <v>0</v>
      </c>
      <c r="G23" s="12">
        <v>0</v>
      </c>
      <c r="H23" s="62">
        <f>H24</f>
        <v>1190</v>
      </c>
      <c r="I23" s="62">
        <f>I24</f>
        <v>1565</v>
      </c>
      <c r="J23" s="56">
        <f t="shared" si="0"/>
        <v>375</v>
      </c>
      <c r="K23" s="62">
        <f aca="true" t="shared" si="3" ref="K23:O24">K24</f>
        <v>1565</v>
      </c>
      <c r="L23" s="62">
        <f t="shared" si="3"/>
        <v>1515.5</v>
      </c>
      <c r="M23" s="214">
        <f t="shared" si="3"/>
        <v>1895.1</v>
      </c>
      <c r="N23" s="214">
        <f t="shared" si="3"/>
        <v>1894.8718</v>
      </c>
      <c r="O23" s="262">
        <f t="shared" si="2"/>
        <v>99.9879584190808</v>
      </c>
      <c r="P23" s="146"/>
    </row>
    <row r="24" spans="1:16" ht="14.25">
      <c r="A24" s="5" t="s">
        <v>86</v>
      </c>
      <c r="B24" s="5"/>
      <c r="C24" s="11" t="s">
        <v>140</v>
      </c>
      <c r="D24" s="11" t="s">
        <v>168</v>
      </c>
      <c r="E24" s="12" t="s">
        <v>2</v>
      </c>
      <c r="F24" s="12"/>
      <c r="G24" s="12"/>
      <c r="H24" s="62">
        <f>H25</f>
        <v>1190</v>
      </c>
      <c r="I24" s="62">
        <f>I25</f>
        <v>1565</v>
      </c>
      <c r="J24" s="56">
        <f t="shared" si="0"/>
        <v>375</v>
      </c>
      <c r="K24" s="62">
        <f t="shared" si="3"/>
        <v>1565</v>
      </c>
      <c r="L24" s="62">
        <f t="shared" si="3"/>
        <v>1515.5</v>
      </c>
      <c r="M24" s="214">
        <f t="shared" si="3"/>
        <v>1895.1</v>
      </c>
      <c r="N24" s="214">
        <f t="shared" si="3"/>
        <v>1894.8718</v>
      </c>
      <c r="O24" s="262">
        <f t="shared" si="2"/>
        <v>99.9879584190808</v>
      </c>
      <c r="P24" s="146"/>
    </row>
    <row r="25" spans="1:16" ht="25.5">
      <c r="A25" s="6" t="s">
        <v>97</v>
      </c>
      <c r="B25" s="6"/>
      <c r="C25" s="11" t="s">
        <v>140</v>
      </c>
      <c r="D25" s="11" t="s">
        <v>168</v>
      </c>
      <c r="E25" s="13" t="s">
        <v>2</v>
      </c>
      <c r="F25" s="13" t="s">
        <v>323</v>
      </c>
      <c r="G25" s="13"/>
      <c r="H25" s="62">
        <f>'проект бюджета 2013'!H16</f>
        <v>1190</v>
      </c>
      <c r="I25" s="62">
        <f>'проект бюджета 2013'!I16</f>
        <v>1565</v>
      </c>
      <c r="J25" s="56">
        <f t="shared" si="0"/>
        <v>375</v>
      </c>
      <c r="K25" s="62">
        <f>'проект бюджета 2013'!K16</f>
        <v>1565</v>
      </c>
      <c r="L25" s="62">
        <f>'проект бюджета 2013'!M16</f>
        <v>1515.5</v>
      </c>
      <c r="M25" s="214">
        <f>'проект бюджета 2013'!N16</f>
        <v>1895.1</v>
      </c>
      <c r="N25" s="214">
        <f>'проект бюджета 2013'!O16</f>
        <v>1894.8718</v>
      </c>
      <c r="O25" s="262">
        <f t="shared" si="2"/>
        <v>99.9879584190808</v>
      </c>
      <c r="P25" s="146"/>
    </row>
    <row r="26" spans="1:16" ht="14.25">
      <c r="A26" s="6" t="s">
        <v>209</v>
      </c>
      <c r="B26" s="3"/>
      <c r="C26" s="11" t="s">
        <v>140</v>
      </c>
      <c r="D26" s="11" t="s">
        <v>168</v>
      </c>
      <c r="E26" s="13" t="s">
        <v>2</v>
      </c>
      <c r="F26" s="13" t="s">
        <v>323</v>
      </c>
      <c r="G26" s="156" t="s">
        <v>212</v>
      </c>
      <c r="H26" s="78">
        <f>'проект бюджета 2013'!H17</f>
        <v>1190</v>
      </c>
      <c r="I26" s="78">
        <f>'проект бюджета 2013'!I17</f>
        <v>1565</v>
      </c>
      <c r="J26" s="56">
        <f t="shared" si="0"/>
        <v>375</v>
      </c>
      <c r="K26" s="78">
        <f>'проект бюджета 2013'!K17</f>
        <v>1565</v>
      </c>
      <c r="L26" s="78">
        <f>'проект бюджета 2013'!M17</f>
        <v>1515.5</v>
      </c>
      <c r="M26" s="216">
        <f>'проект бюджета 2013'!N17</f>
        <v>1895.1</v>
      </c>
      <c r="N26" s="216">
        <f>'проект бюджета 2013'!O17</f>
        <v>1894.8718</v>
      </c>
      <c r="O26" s="262">
        <f t="shared" si="2"/>
        <v>99.9879584190808</v>
      </c>
      <c r="P26" s="146"/>
    </row>
    <row r="27" spans="1:16" ht="57">
      <c r="A27" s="4" t="s">
        <v>94</v>
      </c>
      <c r="B27" s="4"/>
      <c r="C27" s="11" t="s">
        <v>140</v>
      </c>
      <c r="D27" s="11" t="s">
        <v>171</v>
      </c>
      <c r="E27" s="11"/>
      <c r="F27" s="11"/>
      <c r="G27" s="11"/>
      <c r="H27" s="62" t="e">
        <f>'проект бюджета 2013'!H30</f>
        <v>#REF!</v>
      </c>
      <c r="I27" s="62" t="e">
        <f>I28+#REF!</f>
        <v>#REF!</v>
      </c>
      <c r="J27" s="56" t="e">
        <f t="shared" si="0"/>
        <v>#REF!</v>
      </c>
      <c r="K27" s="62" t="e">
        <f>K28+#REF!</f>
        <v>#REF!</v>
      </c>
      <c r="L27" s="62" t="e">
        <f>L28+#REF!</f>
        <v>#REF!</v>
      </c>
      <c r="M27" s="214">
        <f>M28</f>
        <v>19457</v>
      </c>
      <c r="N27" s="214">
        <f>N28</f>
        <v>19030.30777</v>
      </c>
      <c r="O27" s="262">
        <f t="shared" si="2"/>
        <v>97.80699886930154</v>
      </c>
      <c r="P27" s="146"/>
    </row>
    <row r="28" spans="1:16" ht="38.25">
      <c r="A28" s="5" t="s">
        <v>1</v>
      </c>
      <c r="B28" s="5"/>
      <c r="C28" s="11" t="s">
        <v>140</v>
      </c>
      <c r="D28" s="11" t="s">
        <v>171</v>
      </c>
      <c r="E28" s="12" t="s">
        <v>0</v>
      </c>
      <c r="F28" s="12"/>
      <c r="G28" s="12"/>
      <c r="H28" s="62">
        <f>'проект бюджета 2013'!H31</f>
        <v>14355.24</v>
      </c>
      <c r="I28" s="62">
        <f>'проект бюджета 2013'!I31</f>
        <v>16385.3</v>
      </c>
      <c r="J28" s="56">
        <f t="shared" si="0"/>
        <v>2030.0599999999995</v>
      </c>
      <c r="K28" s="62">
        <f>'проект бюджета 2013'!K31</f>
        <v>16385.3</v>
      </c>
      <c r="L28" s="62">
        <f>'проект бюджета 2013'!M31</f>
        <v>17910.6</v>
      </c>
      <c r="M28" s="214">
        <f>'проект бюджета 2013'!N31</f>
        <v>19457</v>
      </c>
      <c r="N28" s="214">
        <f>'проект бюджета 2013'!O31</f>
        <v>19030.30777</v>
      </c>
      <c r="O28" s="262">
        <f t="shared" si="2"/>
        <v>97.80699886930154</v>
      </c>
      <c r="P28" s="146"/>
    </row>
    <row r="29" spans="1:16" ht="14.25">
      <c r="A29" s="5" t="s">
        <v>86</v>
      </c>
      <c r="B29" s="5"/>
      <c r="C29" s="11" t="s">
        <v>140</v>
      </c>
      <c r="D29" s="11" t="s">
        <v>171</v>
      </c>
      <c r="E29" s="12" t="s">
        <v>2</v>
      </c>
      <c r="F29" s="12"/>
      <c r="G29" s="12"/>
      <c r="H29" s="62">
        <f>'проект бюджета 2013'!H32</f>
        <v>14355.24</v>
      </c>
      <c r="I29" s="62">
        <f>'проект бюджета 2013'!I32</f>
        <v>16385.3</v>
      </c>
      <c r="J29" s="56">
        <f t="shared" si="0"/>
        <v>2030.0599999999995</v>
      </c>
      <c r="K29" s="62">
        <f>'проект бюджета 2013'!K32</f>
        <v>16385.3</v>
      </c>
      <c r="L29" s="62">
        <f>'проект бюджета 2013'!M32</f>
        <v>17910.6</v>
      </c>
      <c r="M29" s="214">
        <f>'проект бюджета 2013'!N32</f>
        <v>19457</v>
      </c>
      <c r="N29" s="214">
        <f>'проект бюджета 2013'!O32</f>
        <v>19030.30777</v>
      </c>
      <c r="O29" s="262">
        <f t="shared" si="2"/>
        <v>97.80699886930154</v>
      </c>
      <c r="P29" s="146"/>
    </row>
    <row r="30" spans="1:16" ht="25.5">
      <c r="A30" s="6" t="s">
        <v>97</v>
      </c>
      <c r="B30" s="6"/>
      <c r="C30" s="11" t="s">
        <v>140</v>
      </c>
      <c r="D30" s="11" t="s">
        <v>171</v>
      </c>
      <c r="E30" s="13" t="s">
        <v>2</v>
      </c>
      <c r="F30" s="13" t="s">
        <v>323</v>
      </c>
      <c r="G30" s="13"/>
      <c r="H30" s="62">
        <f>'проект бюджета 2013'!H33</f>
        <v>14355.24</v>
      </c>
      <c r="I30" s="62">
        <f>'проект бюджета 2013'!I33</f>
        <v>16385.3</v>
      </c>
      <c r="J30" s="56">
        <f t="shared" si="0"/>
        <v>2030.0599999999995</v>
      </c>
      <c r="K30" s="62">
        <f>'проект бюджета 2013'!K33</f>
        <v>16385.3</v>
      </c>
      <c r="L30" s="62">
        <f>'проект бюджета 2013'!M33</f>
        <v>17910.6</v>
      </c>
      <c r="M30" s="214">
        <f>'проект бюджета 2013'!N33</f>
        <v>19457</v>
      </c>
      <c r="N30" s="214">
        <f>'проект бюджета 2013'!O33</f>
        <v>19030.30777</v>
      </c>
      <c r="O30" s="262">
        <f t="shared" si="2"/>
        <v>97.80699886930154</v>
      </c>
      <c r="P30" s="146"/>
    </row>
    <row r="31" spans="1:16" ht="15.75" customHeight="1">
      <c r="A31" s="6" t="s">
        <v>209</v>
      </c>
      <c r="B31" s="6"/>
      <c r="C31" s="11" t="s">
        <v>140</v>
      </c>
      <c r="D31" s="11" t="s">
        <v>171</v>
      </c>
      <c r="E31" s="13" t="s">
        <v>2</v>
      </c>
      <c r="F31" s="13" t="s">
        <v>323</v>
      </c>
      <c r="G31" s="156" t="s">
        <v>212</v>
      </c>
      <c r="H31" s="78">
        <f>'проект бюджета 2013'!H34</f>
        <v>14355.24</v>
      </c>
      <c r="I31" s="78">
        <f>'проект бюджета 2013'!I34</f>
        <v>16385.3</v>
      </c>
      <c r="J31" s="56">
        <f t="shared" si="0"/>
        <v>2030.0599999999995</v>
      </c>
      <c r="K31" s="78">
        <f>'проект бюджета 2013'!K34</f>
        <v>16385.3</v>
      </c>
      <c r="L31" s="78">
        <f>'проект бюджета 2013'!M34</f>
        <v>17910.6</v>
      </c>
      <c r="M31" s="216">
        <f>'проект бюджета 2013'!N34</f>
        <v>19457</v>
      </c>
      <c r="N31" s="216">
        <f>'проект бюджета 2013'!O34</f>
        <v>19030.30777</v>
      </c>
      <c r="O31" s="262">
        <f t="shared" si="2"/>
        <v>97.80699886930154</v>
      </c>
      <c r="P31" s="146"/>
    </row>
    <row r="32" spans="1:16" ht="52.5" customHeight="1">
      <c r="A32" s="4" t="s">
        <v>27</v>
      </c>
      <c r="B32" s="4"/>
      <c r="C32" s="11" t="s">
        <v>140</v>
      </c>
      <c r="D32" s="11" t="s">
        <v>175</v>
      </c>
      <c r="E32" s="11">
        <v>0</v>
      </c>
      <c r="F32" s="11"/>
      <c r="G32" s="11"/>
      <c r="H32" s="62">
        <f>'проект бюджета 2013'!H261</f>
        <v>2031</v>
      </c>
      <c r="I32" s="62">
        <f>'проект бюджета 2013'!I261</f>
        <v>1851</v>
      </c>
      <c r="J32" s="56">
        <f t="shared" si="0"/>
        <v>-180</v>
      </c>
      <c r="K32" s="62">
        <f>'проект бюджета 2013'!K261</f>
        <v>1851</v>
      </c>
      <c r="L32" s="62" t="e">
        <f aca="true" t="shared" si="4" ref="L32:O35">L33</f>
        <v>#REF!</v>
      </c>
      <c r="M32" s="214">
        <f t="shared" si="4"/>
        <v>2419.3</v>
      </c>
      <c r="N32" s="214">
        <f t="shared" si="4"/>
        <v>2419.3</v>
      </c>
      <c r="O32" s="262">
        <f t="shared" si="2"/>
        <v>100</v>
      </c>
      <c r="P32" s="146"/>
    </row>
    <row r="33" spans="1:16" ht="52.5" customHeight="1">
      <c r="A33" s="5" t="s">
        <v>1</v>
      </c>
      <c r="B33" s="5"/>
      <c r="C33" s="11" t="s">
        <v>140</v>
      </c>
      <c r="D33" s="11" t="s">
        <v>175</v>
      </c>
      <c r="E33" s="12" t="s">
        <v>0</v>
      </c>
      <c r="F33" s="12"/>
      <c r="G33" s="12"/>
      <c r="H33" s="62">
        <f>'проект бюджета 2013'!H262</f>
        <v>2031</v>
      </c>
      <c r="I33" s="62">
        <f>'проект бюджета 2013'!I262</f>
        <v>1851</v>
      </c>
      <c r="J33" s="56">
        <f t="shared" si="0"/>
        <v>-180</v>
      </c>
      <c r="K33" s="62">
        <f>'проект бюджета 2013'!K262</f>
        <v>1851</v>
      </c>
      <c r="L33" s="62" t="e">
        <f t="shared" si="4"/>
        <v>#REF!</v>
      </c>
      <c r="M33" s="214">
        <f t="shared" si="4"/>
        <v>2419.3</v>
      </c>
      <c r="N33" s="214">
        <f t="shared" si="4"/>
        <v>2419.3</v>
      </c>
      <c r="O33" s="262">
        <f t="shared" si="2"/>
        <v>100</v>
      </c>
      <c r="P33" s="146"/>
    </row>
    <row r="34" spans="1:16" ht="14.25">
      <c r="A34" s="5" t="s">
        <v>86</v>
      </c>
      <c r="B34" s="5"/>
      <c r="C34" s="11" t="s">
        <v>140</v>
      </c>
      <c r="D34" s="11" t="s">
        <v>175</v>
      </c>
      <c r="E34" s="12" t="s">
        <v>2</v>
      </c>
      <c r="F34" s="12"/>
      <c r="G34" s="12"/>
      <c r="H34" s="62">
        <f>'проект бюджета 2013'!H263</f>
        <v>2031</v>
      </c>
      <c r="I34" s="62">
        <f>'проект бюджета 2013'!I263</f>
        <v>1851</v>
      </c>
      <c r="J34" s="56">
        <f t="shared" si="0"/>
        <v>-180</v>
      </c>
      <c r="K34" s="62">
        <f>'проект бюджета 2013'!K263</f>
        <v>1851</v>
      </c>
      <c r="L34" s="62" t="e">
        <f t="shared" si="4"/>
        <v>#REF!</v>
      </c>
      <c r="M34" s="214">
        <f t="shared" si="4"/>
        <v>2419.3</v>
      </c>
      <c r="N34" s="214">
        <f t="shared" si="4"/>
        <v>2419.3</v>
      </c>
      <c r="O34" s="262">
        <f t="shared" si="2"/>
        <v>100</v>
      </c>
      <c r="P34" s="146"/>
    </row>
    <row r="35" spans="1:16" ht="25.5">
      <c r="A35" s="6" t="s">
        <v>97</v>
      </c>
      <c r="B35" s="6"/>
      <c r="C35" s="11" t="s">
        <v>140</v>
      </c>
      <c r="D35" s="11" t="s">
        <v>175</v>
      </c>
      <c r="E35" s="12" t="s">
        <v>2</v>
      </c>
      <c r="F35" s="13" t="s">
        <v>323</v>
      </c>
      <c r="G35" s="13"/>
      <c r="H35" s="62">
        <f>'проект бюджета 2013'!H264</f>
        <v>2031</v>
      </c>
      <c r="I35" s="62">
        <f>'проект бюджета 2013'!I264</f>
        <v>1851</v>
      </c>
      <c r="J35" s="56">
        <f t="shared" si="0"/>
        <v>-180</v>
      </c>
      <c r="K35" s="62">
        <f>'проект бюджета 2013'!K264</f>
        <v>1851</v>
      </c>
      <c r="L35" s="62" t="e">
        <f t="shared" si="4"/>
        <v>#REF!</v>
      </c>
      <c r="M35" s="214">
        <f t="shared" si="4"/>
        <v>2419.3</v>
      </c>
      <c r="N35" s="214">
        <f t="shared" si="4"/>
        <v>2419.3</v>
      </c>
      <c r="O35" s="262">
        <f t="shared" si="2"/>
        <v>100</v>
      </c>
      <c r="P35" s="146"/>
    </row>
    <row r="36" spans="1:16" ht="14.25">
      <c r="A36" s="6" t="s">
        <v>209</v>
      </c>
      <c r="B36" s="3"/>
      <c r="C36" s="11" t="s">
        <v>140</v>
      </c>
      <c r="D36" s="11" t="s">
        <v>175</v>
      </c>
      <c r="E36" s="12" t="s">
        <v>2</v>
      </c>
      <c r="F36" s="13" t="s">
        <v>323</v>
      </c>
      <c r="G36" s="156" t="s">
        <v>212</v>
      </c>
      <c r="H36" s="78">
        <f>'проект бюджета 2013'!H265</f>
        <v>2031</v>
      </c>
      <c r="I36" s="78">
        <f>'проект бюджета 2013'!I265</f>
        <v>1851</v>
      </c>
      <c r="J36" s="56">
        <f t="shared" si="0"/>
        <v>-180</v>
      </c>
      <c r="K36" s="78">
        <f>'проект бюджета 2013'!K265</f>
        <v>1851</v>
      </c>
      <c r="L36" s="78" t="e">
        <f>'проект бюджета 2013'!M265+'проект бюджета 2013'!#REF!</f>
        <v>#REF!</v>
      </c>
      <c r="M36" s="216">
        <f>'проект бюджета 2013'!N265</f>
        <v>2419.3</v>
      </c>
      <c r="N36" s="216">
        <f>'проект бюджета 2013'!O265</f>
        <v>2419.3</v>
      </c>
      <c r="O36" s="262">
        <f t="shared" si="2"/>
        <v>100</v>
      </c>
      <c r="P36" s="146"/>
    </row>
    <row r="37" spans="1:16" ht="14.25">
      <c r="A37" s="4" t="s">
        <v>101</v>
      </c>
      <c r="B37" s="4"/>
      <c r="C37" s="11" t="s">
        <v>140</v>
      </c>
      <c r="D37" s="11" t="s">
        <v>251</v>
      </c>
      <c r="E37" s="11"/>
      <c r="F37" s="15"/>
      <c r="G37" s="15"/>
      <c r="H37" s="62">
        <f>'проект бюджета 2013'!H35</f>
        <v>519.4</v>
      </c>
      <c r="I37" s="62">
        <f>'проект бюджета 2013'!I35</f>
        <v>500</v>
      </c>
      <c r="J37" s="56">
        <f t="shared" si="0"/>
        <v>-19.399999999999977</v>
      </c>
      <c r="K37" s="62">
        <f>'проект бюджета 2013'!K35</f>
        <v>500</v>
      </c>
      <c r="L37" s="62">
        <f>'проект бюджета 2013'!M35</f>
        <v>500</v>
      </c>
      <c r="M37" s="214">
        <f>'проект бюджета 2013'!N35</f>
        <v>0</v>
      </c>
      <c r="N37" s="214">
        <f>'проект бюджета 2013'!O35</f>
        <v>0</v>
      </c>
      <c r="O37" s="262"/>
      <c r="P37" s="146"/>
    </row>
    <row r="38" spans="1:16" ht="14.25">
      <c r="A38" s="5" t="s">
        <v>101</v>
      </c>
      <c r="B38" s="5"/>
      <c r="C38" s="11" t="s">
        <v>140</v>
      </c>
      <c r="D38" s="11" t="s">
        <v>251</v>
      </c>
      <c r="E38" s="12" t="s">
        <v>102</v>
      </c>
      <c r="F38" s="15"/>
      <c r="G38" s="15"/>
      <c r="H38" s="62">
        <f>'проект бюджета 2013'!H36</f>
        <v>519.4</v>
      </c>
      <c r="I38" s="62">
        <f>'проект бюджета 2013'!I36</f>
        <v>500</v>
      </c>
      <c r="J38" s="56">
        <f t="shared" si="0"/>
        <v>-19.399999999999977</v>
      </c>
      <c r="K38" s="62">
        <f>'проект бюджета 2013'!K36</f>
        <v>500</v>
      </c>
      <c r="L38" s="62">
        <f>'проект бюджета 2013'!M36</f>
        <v>500</v>
      </c>
      <c r="M38" s="214">
        <f>'проект бюджета 2013'!N36</f>
        <v>0</v>
      </c>
      <c r="N38" s="214">
        <f>'проект бюджета 2013'!O36</f>
        <v>0</v>
      </c>
      <c r="O38" s="262"/>
      <c r="P38" s="146"/>
    </row>
    <row r="39" spans="1:16" ht="14.25">
      <c r="A39" s="5" t="s">
        <v>104</v>
      </c>
      <c r="B39" s="5"/>
      <c r="C39" s="11" t="s">
        <v>140</v>
      </c>
      <c r="D39" s="11" t="s">
        <v>251</v>
      </c>
      <c r="E39" s="12" t="s">
        <v>103</v>
      </c>
      <c r="F39" s="15"/>
      <c r="G39" s="15"/>
      <c r="H39" s="62">
        <f>'проект бюджета 2013'!H37</f>
        <v>519.4</v>
      </c>
      <c r="I39" s="62">
        <f>'проект бюджета 2013'!I37</f>
        <v>500</v>
      </c>
      <c r="J39" s="56">
        <f t="shared" si="0"/>
        <v>-19.399999999999977</v>
      </c>
      <c r="K39" s="62">
        <f>'проект бюджета 2013'!K37</f>
        <v>500</v>
      </c>
      <c r="L39" s="62">
        <f>'проект бюджета 2013'!M37</f>
        <v>500</v>
      </c>
      <c r="M39" s="214">
        <f>'проект бюджета 2013'!N37</f>
        <v>0</v>
      </c>
      <c r="N39" s="214">
        <f>'проект бюджета 2013'!O37</f>
        <v>0</v>
      </c>
      <c r="O39" s="262"/>
      <c r="P39" s="146"/>
    </row>
    <row r="40" spans="1:16" ht="14.25">
      <c r="A40" s="6" t="s">
        <v>397</v>
      </c>
      <c r="B40" s="5"/>
      <c r="C40" s="11" t="s">
        <v>140</v>
      </c>
      <c r="D40" s="11" t="s">
        <v>251</v>
      </c>
      <c r="E40" s="12" t="s">
        <v>103</v>
      </c>
      <c r="F40" s="13" t="s">
        <v>250</v>
      </c>
      <c r="G40" s="15"/>
      <c r="H40" s="62"/>
      <c r="I40" s="62"/>
      <c r="J40" s="56"/>
      <c r="K40" s="62"/>
      <c r="L40" s="62"/>
      <c r="M40" s="214"/>
      <c r="N40" s="214"/>
      <c r="O40" s="262"/>
      <c r="P40" s="146"/>
    </row>
    <row r="41" spans="1:16" ht="14.25">
      <c r="A41" s="6" t="s">
        <v>309</v>
      </c>
      <c r="B41" s="6"/>
      <c r="C41" s="11" t="s">
        <v>140</v>
      </c>
      <c r="D41" s="11" t="s">
        <v>251</v>
      </c>
      <c r="E41" s="12" t="s">
        <v>103</v>
      </c>
      <c r="F41" s="13" t="s">
        <v>308</v>
      </c>
      <c r="G41" s="13"/>
      <c r="H41" s="62">
        <f>'проект бюджета 2013'!H39</f>
        <v>519.4</v>
      </c>
      <c r="I41" s="62">
        <f>'проект бюджета 2013'!I39</f>
        <v>500</v>
      </c>
      <c r="J41" s="56">
        <f t="shared" si="0"/>
        <v>-19.399999999999977</v>
      </c>
      <c r="K41" s="62">
        <f>'проект бюджета 2013'!K39</f>
        <v>500</v>
      </c>
      <c r="L41" s="62">
        <f>'проект бюджета 2013'!M39</f>
        <v>500</v>
      </c>
      <c r="M41" s="214">
        <f>'проект бюджета 2013'!N39</f>
        <v>0</v>
      </c>
      <c r="N41" s="214">
        <f>'проект бюджета 2013'!O39</f>
        <v>0</v>
      </c>
      <c r="O41" s="262"/>
      <c r="P41" s="146"/>
    </row>
    <row r="42" spans="1:16" ht="14.25">
      <c r="A42" s="6" t="s">
        <v>209</v>
      </c>
      <c r="B42" s="3"/>
      <c r="C42" s="11" t="s">
        <v>140</v>
      </c>
      <c r="D42" s="11" t="s">
        <v>251</v>
      </c>
      <c r="E42" s="12" t="s">
        <v>103</v>
      </c>
      <c r="F42" s="13" t="s">
        <v>308</v>
      </c>
      <c r="G42" s="156" t="s">
        <v>212</v>
      </c>
      <c r="H42" s="78">
        <f>'проект бюджета 2013'!H40</f>
        <v>519.4</v>
      </c>
      <c r="I42" s="78">
        <f>'проект бюджета 2013'!I40</f>
        <v>500</v>
      </c>
      <c r="J42" s="56">
        <f t="shared" si="0"/>
        <v>-19.399999999999977</v>
      </c>
      <c r="K42" s="78">
        <f>'проект бюджета 2013'!K40</f>
        <v>500</v>
      </c>
      <c r="L42" s="78">
        <f>'проект бюджета 2013'!M40</f>
        <v>500</v>
      </c>
      <c r="M42" s="216">
        <f>'проект бюджета 2013'!N40</f>
        <v>0</v>
      </c>
      <c r="N42" s="216">
        <f>'проект бюджета 2013'!O40</f>
        <v>0</v>
      </c>
      <c r="O42" s="262"/>
      <c r="P42" s="146"/>
    </row>
    <row r="43" spans="1:16" ht="14.25">
      <c r="A43" s="4" t="s">
        <v>39</v>
      </c>
      <c r="B43" s="4"/>
      <c r="C43" s="11" t="s">
        <v>140</v>
      </c>
      <c r="D43" s="11" t="s">
        <v>252</v>
      </c>
      <c r="E43" s="11"/>
      <c r="F43" s="15"/>
      <c r="G43" s="15"/>
      <c r="H43" s="62" t="e">
        <f>#REF!+#REF!+H57+#REF!+H44+H47+H50</f>
        <v>#REF!</v>
      </c>
      <c r="I43" s="62" t="e">
        <f>#REF!+#REF!+I57+#REF!+I44+I47+I50</f>
        <v>#REF!</v>
      </c>
      <c r="J43" s="56" t="e">
        <f t="shared" si="0"/>
        <v>#REF!</v>
      </c>
      <c r="K43" s="62" t="e">
        <f>#REF!+#REF!+K57+#REF!+K44+K47+K50+#REF!+#REF!</f>
        <v>#REF!</v>
      </c>
      <c r="L43" s="62" t="e">
        <f>#REF!+#REF!+L57+#REF!+L44+L47+L50+#REF!+#REF!+L66</f>
        <v>#REF!</v>
      </c>
      <c r="M43" s="214">
        <f>M57+M44+M47+M50+M66+M62+M53</f>
        <v>4834.487999999999</v>
      </c>
      <c r="N43" s="214">
        <f>N57+N44+N47+N50+N66+N62+N53</f>
        <v>4820.17353</v>
      </c>
      <c r="O43" s="262">
        <f t="shared" si="2"/>
        <v>99.70390928677453</v>
      </c>
      <c r="P43" s="146"/>
    </row>
    <row r="44" spans="1:16" ht="25.5">
      <c r="A44" s="6" t="s">
        <v>234</v>
      </c>
      <c r="B44" s="12" t="s">
        <v>164</v>
      </c>
      <c r="C44" s="12" t="s">
        <v>140</v>
      </c>
      <c r="D44" s="11" t="s">
        <v>252</v>
      </c>
      <c r="E44" s="12" t="s">
        <v>231</v>
      </c>
      <c r="F44" s="15"/>
      <c r="G44" s="34"/>
      <c r="H44" s="55">
        <f>H46</f>
        <v>183.5</v>
      </c>
      <c r="I44" s="55">
        <f>I46</f>
        <v>197.8</v>
      </c>
      <c r="J44" s="56">
        <f t="shared" si="0"/>
        <v>14.300000000000011</v>
      </c>
      <c r="K44" s="55">
        <f>K46</f>
        <v>197.8</v>
      </c>
      <c r="L44" s="55">
        <f>L46</f>
        <v>192.6</v>
      </c>
      <c r="M44" s="207">
        <f>M46</f>
        <v>193.1</v>
      </c>
      <c r="N44" s="207">
        <f>N46</f>
        <v>193.1</v>
      </c>
      <c r="O44" s="262">
        <f t="shared" si="2"/>
        <v>100</v>
      </c>
      <c r="P44" s="146"/>
    </row>
    <row r="45" spans="1:16" ht="25.5">
      <c r="A45" s="109" t="s">
        <v>97</v>
      </c>
      <c r="B45" s="12" t="s">
        <v>164</v>
      </c>
      <c r="C45" s="12" t="s">
        <v>140</v>
      </c>
      <c r="D45" s="11" t="s">
        <v>252</v>
      </c>
      <c r="E45" s="13" t="s">
        <v>231</v>
      </c>
      <c r="F45" s="15" t="s">
        <v>323</v>
      </c>
      <c r="G45" s="34"/>
      <c r="H45" s="55">
        <f>H46</f>
        <v>183.5</v>
      </c>
      <c r="I45" s="55">
        <f>I46</f>
        <v>197.8</v>
      </c>
      <c r="J45" s="56">
        <f t="shared" si="0"/>
        <v>14.300000000000011</v>
      </c>
      <c r="K45" s="55">
        <f>K46</f>
        <v>197.8</v>
      </c>
      <c r="L45" s="55">
        <f>L46</f>
        <v>192.6</v>
      </c>
      <c r="M45" s="207">
        <f>M46</f>
        <v>193.1</v>
      </c>
      <c r="N45" s="207">
        <f>N46</f>
        <v>193.1</v>
      </c>
      <c r="O45" s="262">
        <f t="shared" si="2"/>
        <v>100</v>
      </c>
      <c r="P45" s="146"/>
    </row>
    <row r="46" spans="1:16" ht="14.25">
      <c r="A46" s="6" t="s">
        <v>211</v>
      </c>
      <c r="B46" s="12" t="s">
        <v>164</v>
      </c>
      <c r="C46" s="12" t="s">
        <v>140</v>
      </c>
      <c r="D46" s="11" t="s">
        <v>252</v>
      </c>
      <c r="E46" s="13" t="s">
        <v>231</v>
      </c>
      <c r="F46" s="15" t="s">
        <v>323</v>
      </c>
      <c r="G46" s="157">
        <v>2</v>
      </c>
      <c r="H46" s="55">
        <f>'проект бюджета 2013'!H44</f>
        <v>183.5</v>
      </c>
      <c r="I46" s="55">
        <f>'проект бюджета 2013'!I44</f>
        <v>197.8</v>
      </c>
      <c r="J46" s="56">
        <f t="shared" si="0"/>
        <v>14.300000000000011</v>
      </c>
      <c r="K46" s="55">
        <f>'проект бюджета 2013'!K44</f>
        <v>197.8</v>
      </c>
      <c r="L46" s="55">
        <f>'проект бюджета 2013'!M44</f>
        <v>192.6</v>
      </c>
      <c r="M46" s="207">
        <f>'проект бюджета 2013'!N44</f>
        <v>193.1</v>
      </c>
      <c r="N46" s="207">
        <f>'проект бюджета 2013'!O44</f>
        <v>193.1</v>
      </c>
      <c r="O46" s="262">
        <f t="shared" si="2"/>
        <v>100</v>
      </c>
      <c r="P46" s="146"/>
    </row>
    <row r="47" spans="1:16" ht="25.5">
      <c r="A47" s="6" t="s">
        <v>235</v>
      </c>
      <c r="B47" s="12" t="s">
        <v>164</v>
      </c>
      <c r="C47" s="12" t="s">
        <v>140</v>
      </c>
      <c r="D47" s="11" t="s">
        <v>252</v>
      </c>
      <c r="E47" s="13" t="s">
        <v>232</v>
      </c>
      <c r="F47" s="15"/>
      <c r="G47" s="34"/>
      <c r="H47" s="55">
        <f>H49</f>
        <v>210.8</v>
      </c>
      <c r="I47" s="55">
        <f>I49</f>
        <v>224</v>
      </c>
      <c r="J47" s="56">
        <f t="shared" si="0"/>
        <v>13.199999999999989</v>
      </c>
      <c r="K47" s="55">
        <f>K49</f>
        <v>224</v>
      </c>
      <c r="L47" s="55">
        <f>L49</f>
        <v>220.4</v>
      </c>
      <c r="M47" s="207">
        <f>M49</f>
        <v>222.5</v>
      </c>
      <c r="N47" s="207">
        <f>N49</f>
        <v>222.5</v>
      </c>
      <c r="O47" s="262">
        <f t="shared" si="2"/>
        <v>100</v>
      </c>
      <c r="P47" s="146"/>
    </row>
    <row r="48" spans="1:16" ht="25.5">
      <c r="A48" s="109" t="s">
        <v>97</v>
      </c>
      <c r="B48" s="12" t="s">
        <v>164</v>
      </c>
      <c r="C48" s="12" t="s">
        <v>140</v>
      </c>
      <c r="D48" s="11" t="s">
        <v>252</v>
      </c>
      <c r="E48" s="13" t="s">
        <v>232</v>
      </c>
      <c r="F48" s="15" t="s">
        <v>323</v>
      </c>
      <c r="G48" s="34"/>
      <c r="H48" s="55">
        <f>H49</f>
        <v>210.8</v>
      </c>
      <c r="I48" s="55">
        <f>I49</f>
        <v>224</v>
      </c>
      <c r="J48" s="56">
        <f t="shared" si="0"/>
        <v>13.199999999999989</v>
      </c>
      <c r="K48" s="55">
        <f>K49</f>
        <v>224</v>
      </c>
      <c r="L48" s="55">
        <f>L49</f>
        <v>220.4</v>
      </c>
      <c r="M48" s="207">
        <f>M49</f>
        <v>222.5</v>
      </c>
      <c r="N48" s="207">
        <f>N49</f>
        <v>222.5</v>
      </c>
      <c r="O48" s="262">
        <f t="shared" si="2"/>
        <v>100</v>
      </c>
      <c r="P48" s="146"/>
    </row>
    <row r="49" spans="1:16" ht="14.25">
      <c r="A49" s="6" t="s">
        <v>211</v>
      </c>
      <c r="B49" s="12" t="s">
        <v>164</v>
      </c>
      <c r="C49" s="12" t="s">
        <v>140</v>
      </c>
      <c r="D49" s="11" t="s">
        <v>252</v>
      </c>
      <c r="E49" s="13" t="s">
        <v>232</v>
      </c>
      <c r="F49" s="15" t="s">
        <v>323</v>
      </c>
      <c r="G49" s="157">
        <v>2</v>
      </c>
      <c r="H49" s="55">
        <f>'проект бюджета 2013'!H47</f>
        <v>210.8</v>
      </c>
      <c r="I49" s="55">
        <f>'проект бюджета 2013'!I47</f>
        <v>224</v>
      </c>
      <c r="J49" s="56">
        <f t="shared" si="0"/>
        <v>13.199999999999989</v>
      </c>
      <c r="K49" s="55">
        <f>'проект бюджета 2013'!K47</f>
        <v>224</v>
      </c>
      <c r="L49" s="55">
        <f>'проект бюджета 2013'!M47</f>
        <v>220.4</v>
      </c>
      <c r="M49" s="207">
        <f>'проект бюджета 2013'!N47</f>
        <v>222.5</v>
      </c>
      <c r="N49" s="207">
        <f>'проект бюджета 2013'!O47</f>
        <v>222.5</v>
      </c>
      <c r="O49" s="262">
        <f t="shared" si="2"/>
        <v>100</v>
      </c>
      <c r="P49" s="146"/>
    </row>
    <row r="50" spans="1:16" ht="14.25">
      <c r="A50" s="6" t="s">
        <v>236</v>
      </c>
      <c r="B50" s="12" t="s">
        <v>164</v>
      </c>
      <c r="C50" s="12" t="s">
        <v>140</v>
      </c>
      <c r="D50" s="11" t="s">
        <v>252</v>
      </c>
      <c r="E50" s="13" t="s">
        <v>233</v>
      </c>
      <c r="F50" s="15"/>
      <c r="G50" s="34"/>
      <c r="H50" s="55">
        <f>H52</f>
        <v>183.5</v>
      </c>
      <c r="I50" s="55">
        <f>I52</f>
        <v>195.1</v>
      </c>
      <c r="J50" s="56">
        <f t="shared" si="0"/>
        <v>11.599999999999994</v>
      </c>
      <c r="K50" s="55">
        <f>K52</f>
        <v>195.1</v>
      </c>
      <c r="L50" s="55">
        <f>L52</f>
        <v>192.6</v>
      </c>
      <c r="M50" s="207">
        <f>M52</f>
        <v>193.1</v>
      </c>
      <c r="N50" s="207">
        <f>N52</f>
        <v>193.1</v>
      </c>
      <c r="O50" s="262">
        <f t="shared" si="2"/>
        <v>100</v>
      </c>
      <c r="P50" s="146"/>
    </row>
    <row r="51" spans="1:16" ht="25.5">
      <c r="A51" s="109" t="s">
        <v>97</v>
      </c>
      <c r="B51" s="12" t="s">
        <v>164</v>
      </c>
      <c r="C51" s="12" t="s">
        <v>140</v>
      </c>
      <c r="D51" s="11" t="s">
        <v>252</v>
      </c>
      <c r="E51" s="13" t="s">
        <v>233</v>
      </c>
      <c r="F51" s="15" t="s">
        <v>323</v>
      </c>
      <c r="G51" s="34"/>
      <c r="H51" s="55">
        <f>H52</f>
        <v>183.5</v>
      </c>
      <c r="I51" s="55">
        <f>I52</f>
        <v>195.1</v>
      </c>
      <c r="J51" s="56">
        <f t="shared" si="0"/>
        <v>11.599999999999994</v>
      </c>
      <c r="K51" s="55">
        <f>K52</f>
        <v>195.1</v>
      </c>
      <c r="L51" s="55">
        <f>L52</f>
        <v>192.6</v>
      </c>
      <c r="M51" s="207">
        <f>M52</f>
        <v>193.1</v>
      </c>
      <c r="N51" s="207">
        <f>N52</f>
        <v>193.1</v>
      </c>
      <c r="O51" s="262">
        <f t="shared" si="2"/>
        <v>100</v>
      </c>
      <c r="P51" s="146"/>
    </row>
    <row r="52" spans="1:16" ht="14.25">
      <c r="A52" s="6" t="s">
        <v>211</v>
      </c>
      <c r="B52" s="12" t="s">
        <v>164</v>
      </c>
      <c r="C52" s="12" t="s">
        <v>140</v>
      </c>
      <c r="D52" s="11" t="s">
        <v>252</v>
      </c>
      <c r="E52" s="13" t="s">
        <v>233</v>
      </c>
      <c r="F52" s="15" t="s">
        <v>323</v>
      </c>
      <c r="G52" s="157">
        <v>2</v>
      </c>
      <c r="H52" s="55">
        <f>'проект бюджета 2013'!H50</f>
        <v>183.5</v>
      </c>
      <c r="I52" s="55">
        <f>'проект бюджета 2013'!I50</f>
        <v>195.1</v>
      </c>
      <c r="J52" s="56">
        <f t="shared" si="0"/>
        <v>11.599999999999994</v>
      </c>
      <c r="K52" s="55">
        <f>'проект бюджета 2013'!K50</f>
        <v>195.1</v>
      </c>
      <c r="L52" s="55">
        <f>'проект бюджета 2013'!M50</f>
        <v>192.6</v>
      </c>
      <c r="M52" s="207">
        <f>'проект бюджета 2013'!N50</f>
        <v>193.1</v>
      </c>
      <c r="N52" s="207">
        <f>'проект бюджета 2013'!O50</f>
        <v>193.1</v>
      </c>
      <c r="O52" s="262">
        <f t="shared" si="2"/>
        <v>100</v>
      </c>
      <c r="P52" s="146"/>
    </row>
    <row r="53" spans="1:16" ht="14.25">
      <c r="A53" s="6" t="s">
        <v>437</v>
      </c>
      <c r="B53" s="12"/>
      <c r="C53" s="37" t="s">
        <v>140</v>
      </c>
      <c r="D53" s="37" t="s">
        <v>252</v>
      </c>
      <c r="E53" s="13" t="s">
        <v>417</v>
      </c>
      <c r="F53" s="15"/>
      <c r="G53" s="157"/>
      <c r="H53" s="55"/>
      <c r="I53" s="55"/>
      <c r="J53" s="56"/>
      <c r="K53" s="55"/>
      <c r="L53" s="55"/>
      <c r="M53" s="207">
        <f aca="true" t="shared" si="5" ref="M53:O55">M54</f>
        <v>20</v>
      </c>
      <c r="N53" s="207">
        <f t="shared" si="5"/>
        <v>20</v>
      </c>
      <c r="O53" s="262">
        <f t="shared" si="2"/>
        <v>100</v>
      </c>
      <c r="P53" s="146"/>
    </row>
    <row r="54" spans="1:16" ht="51">
      <c r="A54" s="6" t="s">
        <v>435</v>
      </c>
      <c r="B54" s="12"/>
      <c r="C54" s="37" t="s">
        <v>140</v>
      </c>
      <c r="D54" s="37" t="s">
        <v>252</v>
      </c>
      <c r="E54" s="13" t="s">
        <v>436</v>
      </c>
      <c r="F54" s="13"/>
      <c r="G54" s="34"/>
      <c r="H54" s="55"/>
      <c r="I54" s="55"/>
      <c r="J54" s="56"/>
      <c r="K54" s="55"/>
      <c r="L54" s="55"/>
      <c r="M54" s="207">
        <f t="shared" si="5"/>
        <v>20</v>
      </c>
      <c r="N54" s="207">
        <f t="shared" si="5"/>
        <v>20</v>
      </c>
      <c r="O54" s="262">
        <f t="shared" si="2"/>
        <v>100</v>
      </c>
      <c r="P54" s="146"/>
    </row>
    <row r="55" spans="1:16" ht="25.5">
      <c r="A55" s="109" t="s">
        <v>97</v>
      </c>
      <c r="B55" s="12"/>
      <c r="C55" s="37" t="s">
        <v>140</v>
      </c>
      <c r="D55" s="37" t="s">
        <v>252</v>
      </c>
      <c r="E55" s="13" t="s">
        <v>436</v>
      </c>
      <c r="F55" s="13" t="s">
        <v>323</v>
      </c>
      <c r="G55" s="34"/>
      <c r="H55" s="55"/>
      <c r="I55" s="55"/>
      <c r="J55" s="56"/>
      <c r="K55" s="55"/>
      <c r="L55" s="55"/>
      <c r="M55" s="207">
        <f t="shared" si="5"/>
        <v>20</v>
      </c>
      <c r="N55" s="207">
        <f t="shared" si="5"/>
        <v>20</v>
      </c>
      <c r="O55" s="262">
        <f t="shared" si="2"/>
        <v>100</v>
      </c>
      <c r="P55" s="146"/>
    </row>
    <row r="56" spans="1:16" ht="14.25">
      <c r="A56" s="6" t="s">
        <v>211</v>
      </c>
      <c r="B56" s="12"/>
      <c r="C56" s="37" t="s">
        <v>140</v>
      </c>
      <c r="D56" s="37" t="s">
        <v>252</v>
      </c>
      <c r="E56" s="13" t="s">
        <v>436</v>
      </c>
      <c r="F56" s="13" t="s">
        <v>323</v>
      </c>
      <c r="G56" s="34">
        <v>2</v>
      </c>
      <c r="H56" s="55"/>
      <c r="I56" s="55"/>
      <c r="J56" s="56"/>
      <c r="K56" s="55"/>
      <c r="L56" s="55"/>
      <c r="M56" s="207">
        <f>'проект бюджета 2013'!N54</f>
        <v>20</v>
      </c>
      <c r="N56" s="207">
        <f>'проект бюджета 2013'!O54</f>
        <v>20</v>
      </c>
      <c r="O56" s="262">
        <f t="shared" si="2"/>
        <v>100</v>
      </c>
      <c r="P56" s="146"/>
    </row>
    <row r="57" spans="1:16" ht="38.25">
      <c r="A57" s="5" t="s">
        <v>108</v>
      </c>
      <c r="B57" s="5"/>
      <c r="C57" s="11" t="s">
        <v>140</v>
      </c>
      <c r="D57" s="11" t="s">
        <v>252</v>
      </c>
      <c r="E57" s="12" t="s">
        <v>107</v>
      </c>
      <c r="F57" s="15"/>
      <c r="G57" s="15"/>
      <c r="H57" s="62" t="e">
        <f aca="true" t="shared" si="6" ref="H57:L59">H58</f>
        <v>#REF!</v>
      </c>
      <c r="I57" s="62" t="e">
        <f t="shared" si="6"/>
        <v>#REF!</v>
      </c>
      <c r="J57" s="56" t="e">
        <f t="shared" si="0"/>
        <v>#REF!</v>
      </c>
      <c r="K57" s="62" t="e">
        <f t="shared" si="6"/>
        <v>#REF!</v>
      </c>
      <c r="L57" s="62" t="e">
        <f t="shared" si="6"/>
        <v>#REF!</v>
      </c>
      <c r="M57" s="214">
        <f aca="true" t="shared" si="7" ref="M57:O60">M58</f>
        <v>201.43799999999987</v>
      </c>
      <c r="N57" s="214">
        <f t="shared" si="7"/>
        <v>201.43799999999987</v>
      </c>
      <c r="O57" s="262">
        <f t="shared" si="2"/>
        <v>100</v>
      </c>
      <c r="P57" s="146"/>
    </row>
    <row r="58" spans="1:16" ht="25.5">
      <c r="A58" s="105" t="s">
        <v>293</v>
      </c>
      <c r="B58" s="5"/>
      <c r="C58" s="11" t="s">
        <v>140</v>
      </c>
      <c r="D58" s="11" t="s">
        <v>252</v>
      </c>
      <c r="E58" s="12" t="s">
        <v>109</v>
      </c>
      <c r="F58" s="15"/>
      <c r="G58" s="15"/>
      <c r="H58" s="62" t="e">
        <f t="shared" si="6"/>
        <v>#REF!</v>
      </c>
      <c r="I58" s="62" t="e">
        <f t="shared" si="6"/>
        <v>#REF!</v>
      </c>
      <c r="J58" s="56" t="e">
        <f t="shared" si="0"/>
        <v>#REF!</v>
      </c>
      <c r="K58" s="62" t="e">
        <f t="shared" si="6"/>
        <v>#REF!</v>
      </c>
      <c r="L58" s="62" t="e">
        <f t="shared" si="6"/>
        <v>#REF!</v>
      </c>
      <c r="M58" s="214">
        <f t="shared" si="7"/>
        <v>201.43799999999987</v>
      </c>
      <c r="N58" s="214">
        <f t="shared" si="7"/>
        <v>201.43799999999987</v>
      </c>
      <c r="O58" s="262">
        <f t="shared" si="2"/>
        <v>100</v>
      </c>
      <c r="P58" s="146"/>
    </row>
    <row r="59" spans="1:16" ht="15" customHeight="1">
      <c r="A59" s="6" t="s">
        <v>111</v>
      </c>
      <c r="B59" s="6"/>
      <c r="C59" s="11" t="s">
        <v>140</v>
      </c>
      <c r="D59" s="11" t="s">
        <v>252</v>
      </c>
      <c r="E59" s="13" t="s">
        <v>110</v>
      </c>
      <c r="F59" s="13"/>
      <c r="G59" s="13"/>
      <c r="H59" s="62" t="e">
        <f t="shared" si="6"/>
        <v>#REF!</v>
      </c>
      <c r="I59" s="62" t="e">
        <f t="shared" si="6"/>
        <v>#REF!</v>
      </c>
      <c r="J59" s="56" t="e">
        <f t="shared" si="0"/>
        <v>#REF!</v>
      </c>
      <c r="K59" s="62" t="e">
        <f t="shared" si="6"/>
        <v>#REF!</v>
      </c>
      <c r="L59" s="62" t="e">
        <f t="shared" si="6"/>
        <v>#REF!</v>
      </c>
      <c r="M59" s="214">
        <f t="shared" si="7"/>
        <v>201.43799999999987</v>
      </c>
      <c r="N59" s="214">
        <f t="shared" si="7"/>
        <v>201.43799999999987</v>
      </c>
      <c r="O59" s="262">
        <f t="shared" si="2"/>
        <v>100</v>
      </c>
      <c r="P59" s="146"/>
    </row>
    <row r="60" spans="1:16" ht="25.5">
      <c r="A60" s="5" t="s">
        <v>97</v>
      </c>
      <c r="B60" s="5"/>
      <c r="C60" s="11" t="s">
        <v>140</v>
      </c>
      <c r="D60" s="11" t="s">
        <v>252</v>
      </c>
      <c r="E60" s="13" t="s">
        <v>110</v>
      </c>
      <c r="F60" s="16" t="s">
        <v>323</v>
      </c>
      <c r="G60" s="16"/>
      <c r="H60" s="62" t="e">
        <f>'проект бюджета 2013'!#REF!+'проект бюджета 2013'!H58</f>
        <v>#REF!</v>
      </c>
      <c r="I60" s="62" t="e">
        <f>'проект бюджета 2013'!#REF!+'проект бюджета 2013'!I58</f>
        <v>#REF!</v>
      </c>
      <c r="J60" s="56" t="e">
        <f t="shared" si="0"/>
        <v>#REF!</v>
      </c>
      <c r="K60" s="62" t="e">
        <f>'проект бюджета 2013'!#REF!+'проект бюджета 2013'!K58</f>
        <v>#REF!</v>
      </c>
      <c r="L60" s="62" t="e">
        <f>'проект бюджета 2013'!#REF!+'проект бюджета 2013'!M58</f>
        <v>#REF!</v>
      </c>
      <c r="M60" s="214">
        <f t="shared" si="7"/>
        <v>201.43799999999987</v>
      </c>
      <c r="N60" s="214">
        <f t="shared" si="7"/>
        <v>201.43799999999987</v>
      </c>
      <c r="O60" s="262">
        <f t="shared" si="2"/>
        <v>100</v>
      </c>
      <c r="P60" s="146"/>
    </row>
    <row r="61" spans="1:16" ht="14.25">
      <c r="A61" s="6" t="s">
        <v>209</v>
      </c>
      <c r="B61" s="3"/>
      <c r="C61" s="11" t="s">
        <v>140</v>
      </c>
      <c r="D61" s="11" t="s">
        <v>252</v>
      </c>
      <c r="E61" s="13" t="s">
        <v>110</v>
      </c>
      <c r="F61" s="16" t="s">
        <v>323</v>
      </c>
      <c r="G61" s="159" t="s">
        <v>212</v>
      </c>
      <c r="H61" s="78">
        <f>'проект бюджета 2013'!H59</f>
        <v>432.5</v>
      </c>
      <c r="I61" s="78">
        <f>'проект бюджета 2013'!I59</f>
        <v>1550</v>
      </c>
      <c r="J61" s="56">
        <f t="shared" si="0"/>
        <v>1117.5</v>
      </c>
      <c r="K61" s="78">
        <f>'проект бюджета 2013'!K59</f>
        <v>1348.9</v>
      </c>
      <c r="L61" s="78">
        <f>'проект бюджета 2013'!M59</f>
        <v>500</v>
      </c>
      <c r="M61" s="216">
        <f>'проект бюджета 2013'!N59</f>
        <v>201.43799999999987</v>
      </c>
      <c r="N61" s="216">
        <f>'проект бюджета 2013'!O59</f>
        <v>201.43799999999987</v>
      </c>
      <c r="O61" s="262">
        <f t="shared" si="2"/>
        <v>100</v>
      </c>
      <c r="P61" s="146"/>
    </row>
    <row r="62" spans="1:16" ht="25.5">
      <c r="A62" s="5" t="s">
        <v>162</v>
      </c>
      <c r="B62" s="6"/>
      <c r="C62" s="11" t="s">
        <v>140</v>
      </c>
      <c r="D62" s="11" t="s">
        <v>252</v>
      </c>
      <c r="E62" s="13" t="s">
        <v>241</v>
      </c>
      <c r="F62" s="13"/>
      <c r="G62" s="34"/>
      <c r="H62" s="78"/>
      <c r="I62" s="78"/>
      <c r="J62" s="56"/>
      <c r="K62" s="78">
        <f>'проект бюджета 2013'!K58</f>
        <v>1348.9</v>
      </c>
      <c r="L62" s="78">
        <f>'проект бюджета 2013'!M58</f>
        <v>500</v>
      </c>
      <c r="M62" s="216">
        <f aca="true" t="shared" si="8" ref="M62:O64">M63</f>
        <v>0</v>
      </c>
      <c r="N62" s="216">
        <f t="shared" si="8"/>
        <v>0</v>
      </c>
      <c r="O62" s="262"/>
      <c r="P62" s="146"/>
    </row>
    <row r="63" spans="1:16" ht="14.25">
      <c r="A63" s="6" t="s">
        <v>397</v>
      </c>
      <c r="B63" s="6"/>
      <c r="C63" s="11" t="s">
        <v>140</v>
      </c>
      <c r="D63" s="11" t="s">
        <v>252</v>
      </c>
      <c r="E63" s="13" t="s">
        <v>241</v>
      </c>
      <c r="F63" s="13" t="s">
        <v>250</v>
      </c>
      <c r="G63" s="34"/>
      <c r="H63" s="78"/>
      <c r="I63" s="78"/>
      <c r="J63" s="56"/>
      <c r="K63" s="78"/>
      <c r="L63" s="78"/>
      <c r="M63" s="216">
        <f t="shared" si="8"/>
        <v>0</v>
      </c>
      <c r="N63" s="216">
        <f t="shared" si="8"/>
        <v>0</v>
      </c>
      <c r="O63" s="262"/>
      <c r="P63" s="146"/>
    </row>
    <row r="64" spans="1:16" ht="14.25">
      <c r="A64" s="6" t="s">
        <v>309</v>
      </c>
      <c r="B64" s="6"/>
      <c r="C64" s="11" t="s">
        <v>140</v>
      </c>
      <c r="D64" s="11" t="s">
        <v>252</v>
      </c>
      <c r="E64" s="13" t="s">
        <v>241</v>
      </c>
      <c r="F64" s="13" t="s">
        <v>308</v>
      </c>
      <c r="G64" s="34"/>
      <c r="H64" s="78"/>
      <c r="I64" s="78"/>
      <c r="J64" s="56"/>
      <c r="K64" s="78">
        <f>'проект бюджета 2013'!K59</f>
        <v>1348.9</v>
      </c>
      <c r="L64" s="78">
        <f>'проект бюджета 2013'!M59</f>
        <v>500</v>
      </c>
      <c r="M64" s="216">
        <f t="shared" si="8"/>
        <v>0</v>
      </c>
      <c r="N64" s="216">
        <f t="shared" si="8"/>
        <v>0</v>
      </c>
      <c r="O64" s="262"/>
      <c r="P64" s="146"/>
    </row>
    <row r="65" spans="1:16" ht="14.25">
      <c r="A65" s="6" t="s">
        <v>209</v>
      </c>
      <c r="B65" s="6"/>
      <c r="C65" s="11" t="s">
        <v>140</v>
      </c>
      <c r="D65" s="11" t="s">
        <v>252</v>
      </c>
      <c r="E65" s="13" t="s">
        <v>241</v>
      </c>
      <c r="F65" s="13" t="s">
        <v>308</v>
      </c>
      <c r="G65" s="157">
        <v>3</v>
      </c>
      <c r="H65" s="78"/>
      <c r="I65" s="78"/>
      <c r="J65" s="56"/>
      <c r="K65" s="78">
        <f>'проект бюджета 2013'!K61</f>
        <v>0</v>
      </c>
      <c r="L65" s="78">
        <f>'проект бюджета 2013'!M61</f>
        <v>50</v>
      </c>
      <c r="M65" s="216">
        <f>'проект бюджета 2013'!N22</f>
        <v>0</v>
      </c>
      <c r="N65" s="216">
        <f>'проект бюджета 2013'!O22</f>
        <v>0</v>
      </c>
      <c r="O65" s="262"/>
      <c r="P65" s="146"/>
    </row>
    <row r="66" spans="1:16" ht="15" customHeight="1">
      <c r="A66" s="6" t="s">
        <v>221</v>
      </c>
      <c r="B66" s="3"/>
      <c r="C66" s="12" t="s">
        <v>140</v>
      </c>
      <c r="D66" s="11" t="s">
        <v>252</v>
      </c>
      <c r="E66" s="12" t="s">
        <v>156</v>
      </c>
      <c r="F66" s="13"/>
      <c r="G66" s="34"/>
      <c r="H66" s="78"/>
      <c r="I66" s="78"/>
      <c r="J66" s="56"/>
      <c r="K66" s="78"/>
      <c r="L66" s="62">
        <f>L67</f>
        <v>50</v>
      </c>
      <c r="M66" s="214">
        <f>M67+M70+M73+M76</f>
        <v>4004.35</v>
      </c>
      <c r="N66" s="214">
        <f>N67+N70+N73+N76</f>
        <v>3990.03553</v>
      </c>
      <c r="O66" s="262">
        <f t="shared" si="2"/>
        <v>99.64252700188545</v>
      </c>
      <c r="P66" s="146"/>
    </row>
    <row r="67" spans="1:16" ht="38.25">
      <c r="A67" s="105" t="s">
        <v>358</v>
      </c>
      <c r="B67" s="3"/>
      <c r="C67" s="12" t="s">
        <v>140</v>
      </c>
      <c r="D67" s="11" t="s">
        <v>252</v>
      </c>
      <c r="E67" s="13" t="s">
        <v>357</v>
      </c>
      <c r="F67" s="13"/>
      <c r="G67" s="34"/>
      <c r="H67" s="78"/>
      <c r="I67" s="78"/>
      <c r="J67" s="56"/>
      <c r="K67" s="78"/>
      <c r="L67" s="62">
        <f>L68</f>
        <v>50</v>
      </c>
      <c r="M67" s="214">
        <f aca="true" t="shared" si="9" ref="M67:O68">M68</f>
        <v>295</v>
      </c>
      <c r="N67" s="214">
        <f t="shared" si="9"/>
        <v>295</v>
      </c>
      <c r="O67" s="262">
        <f t="shared" si="2"/>
        <v>100</v>
      </c>
      <c r="P67" s="146"/>
    </row>
    <row r="68" spans="1:16" ht="25.5">
      <c r="A68" s="105" t="s">
        <v>97</v>
      </c>
      <c r="B68" s="3"/>
      <c r="C68" s="12" t="s">
        <v>140</v>
      </c>
      <c r="D68" s="11" t="s">
        <v>252</v>
      </c>
      <c r="E68" s="13" t="s">
        <v>357</v>
      </c>
      <c r="F68" s="13" t="s">
        <v>323</v>
      </c>
      <c r="G68" s="34"/>
      <c r="H68" s="78"/>
      <c r="I68" s="78"/>
      <c r="J68" s="56"/>
      <c r="K68" s="78"/>
      <c r="L68" s="62">
        <f>L69</f>
        <v>50</v>
      </c>
      <c r="M68" s="214">
        <f t="shared" si="9"/>
        <v>295</v>
      </c>
      <c r="N68" s="214">
        <f t="shared" si="9"/>
        <v>295</v>
      </c>
      <c r="O68" s="262">
        <f t="shared" si="2"/>
        <v>100</v>
      </c>
      <c r="P68" s="146"/>
    </row>
    <row r="69" spans="1:16" ht="14.25">
      <c r="A69" s="6" t="s">
        <v>209</v>
      </c>
      <c r="B69" s="3"/>
      <c r="C69" s="12" t="s">
        <v>140</v>
      </c>
      <c r="D69" s="11" t="s">
        <v>252</v>
      </c>
      <c r="E69" s="13" t="s">
        <v>357</v>
      </c>
      <c r="F69" s="13" t="s">
        <v>323</v>
      </c>
      <c r="G69" s="157">
        <v>3</v>
      </c>
      <c r="H69" s="78"/>
      <c r="I69" s="78"/>
      <c r="J69" s="56"/>
      <c r="K69" s="78"/>
      <c r="L69" s="62">
        <f>'проект бюджета 2013'!M63</f>
        <v>50</v>
      </c>
      <c r="M69" s="214">
        <f>'проект бюджета 2013'!N63</f>
        <v>295</v>
      </c>
      <c r="N69" s="214">
        <f>'проект бюджета 2013'!O63</f>
        <v>295</v>
      </c>
      <c r="O69" s="262">
        <f t="shared" si="2"/>
        <v>100</v>
      </c>
      <c r="P69" s="146"/>
    </row>
    <row r="70" spans="1:16" ht="38.25">
      <c r="A70" s="105" t="s">
        <v>394</v>
      </c>
      <c r="B70" s="3"/>
      <c r="C70" s="12" t="s">
        <v>140</v>
      </c>
      <c r="D70" s="11" t="s">
        <v>252</v>
      </c>
      <c r="E70" s="13" t="s">
        <v>408</v>
      </c>
      <c r="F70" s="13"/>
      <c r="G70" s="34"/>
      <c r="H70" s="78"/>
      <c r="I70" s="78"/>
      <c r="J70" s="56"/>
      <c r="K70" s="78"/>
      <c r="L70" s="62"/>
      <c r="M70" s="214">
        <f aca="true" t="shared" si="10" ref="M70:O71">M71</f>
        <v>218.99999999999997</v>
      </c>
      <c r="N70" s="214">
        <f t="shared" si="10"/>
        <v>205</v>
      </c>
      <c r="O70" s="262">
        <f t="shared" si="2"/>
        <v>93.60730593607308</v>
      </c>
      <c r="P70" s="146"/>
    </row>
    <row r="71" spans="1:16" ht="25.5">
      <c r="A71" s="6" t="s">
        <v>97</v>
      </c>
      <c r="B71" s="3"/>
      <c r="C71" s="12" t="s">
        <v>140</v>
      </c>
      <c r="D71" s="11" t="s">
        <v>252</v>
      </c>
      <c r="E71" s="13" t="s">
        <v>408</v>
      </c>
      <c r="F71" s="13" t="s">
        <v>323</v>
      </c>
      <c r="G71" s="34"/>
      <c r="H71" s="78"/>
      <c r="I71" s="78"/>
      <c r="J71" s="56"/>
      <c r="K71" s="78"/>
      <c r="L71" s="62"/>
      <c r="M71" s="214">
        <f t="shared" si="10"/>
        <v>218.99999999999997</v>
      </c>
      <c r="N71" s="214">
        <f t="shared" si="10"/>
        <v>205</v>
      </c>
      <c r="O71" s="262">
        <f t="shared" si="2"/>
        <v>93.60730593607308</v>
      </c>
      <c r="P71" s="146"/>
    </row>
    <row r="72" spans="1:16" ht="14.25">
      <c r="A72" s="6" t="s">
        <v>209</v>
      </c>
      <c r="B72" s="3"/>
      <c r="C72" s="12" t="s">
        <v>140</v>
      </c>
      <c r="D72" s="11" t="s">
        <v>252</v>
      </c>
      <c r="E72" s="13" t="s">
        <v>408</v>
      </c>
      <c r="F72" s="13" t="s">
        <v>323</v>
      </c>
      <c r="G72" s="157">
        <v>3</v>
      </c>
      <c r="H72" s="78"/>
      <c r="I72" s="78"/>
      <c r="J72" s="56"/>
      <c r="K72" s="78"/>
      <c r="L72" s="62"/>
      <c r="M72" s="214">
        <f>'проект бюджета 2013'!N66</f>
        <v>218.99999999999997</v>
      </c>
      <c r="N72" s="214">
        <f>'проект бюджета 2013'!O66</f>
        <v>205</v>
      </c>
      <c r="O72" s="262">
        <f t="shared" si="2"/>
        <v>93.60730593607308</v>
      </c>
      <c r="P72" s="146"/>
    </row>
    <row r="73" spans="1:16" ht="38.25">
      <c r="A73" s="105" t="s">
        <v>395</v>
      </c>
      <c r="B73" s="3"/>
      <c r="C73" s="12" t="s">
        <v>140</v>
      </c>
      <c r="D73" s="11" t="s">
        <v>252</v>
      </c>
      <c r="E73" s="13" t="s">
        <v>409</v>
      </c>
      <c r="F73" s="13"/>
      <c r="G73" s="34"/>
      <c r="H73" s="78"/>
      <c r="I73" s="78"/>
      <c r="J73" s="56"/>
      <c r="K73" s="78"/>
      <c r="L73" s="62"/>
      <c r="M73" s="214">
        <f aca="true" t="shared" si="11" ref="M73:O74">M74</f>
        <v>51.15</v>
      </c>
      <c r="N73" s="214">
        <f t="shared" si="11"/>
        <v>51.15</v>
      </c>
      <c r="O73" s="262">
        <f t="shared" si="2"/>
        <v>100</v>
      </c>
      <c r="P73" s="146"/>
    </row>
    <row r="74" spans="1:16" ht="25.5">
      <c r="A74" s="6" t="s">
        <v>97</v>
      </c>
      <c r="B74" s="3"/>
      <c r="C74" s="12" t="s">
        <v>140</v>
      </c>
      <c r="D74" s="11" t="s">
        <v>252</v>
      </c>
      <c r="E74" s="13" t="s">
        <v>409</v>
      </c>
      <c r="F74" s="13" t="s">
        <v>323</v>
      </c>
      <c r="G74" s="34"/>
      <c r="H74" s="78"/>
      <c r="I74" s="78"/>
      <c r="J74" s="56"/>
      <c r="K74" s="78"/>
      <c r="L74" s="62"/>
      <c r="M74" s="214">
        <f t="shared" si="11"/>
        <v>51.15</v>
      </c>
      <c r="N74" s="214">
        <f t="shared" si="11"/>
        <v>51.15</v>
      </c>
      <c r="O74" s="262">
        <f t="shared" si="2"/>
        <v>100</v>
      </c>
      <c r="P74" s="146"/>
    </row>
    <row r="75" spans="1:16" ht="14.25">
      <c r="A75" s="6" t="s">
        <v>209</v>
      </c>
      <c r="B75" s="3"/>
      <c r="C75" s="12" t="s">
        <v>140</v>
      </c>
      <c r="D75" s="11" t="s">
        <v>252</v>
      </c>
      <c r="E75" s="13" t="s">
        <v>409</v>
      </c>
      <c r="F75" s="13" t="s">
        <v>323</v>
      </c>
      <c r="G75" s="157">
        <v>3</v>
      </c>
      <c r="H75" s="78"/>
      <c r="I75" s="78"/>
      <c r="J75" s="56"/>
      <c r="K75" s="78"/>
      <c r="L75" s="62"/>
      <c r="M75" s="214">
        <f>'проект бюджета 2013'!N69</f>
        <v>51.15</v>
      </c>
      <c r="N75" s="214">
        <f>'проект бюджета 2013'!O69</f>
        <v>51.15</v>
      </c>
      <c r="O75" s="262">
        <f t="shared" si="2"/>
        <v>100</v>
      </c>
      <c r="P75" s="146"/>
    </row>
    <row r="76" spans="1:16" ht="38.25">
      <c r="A76" s="105" t="s">
        <v>396</v>
      </c>
      <c r="B76" s="3"/>
      <c r="C76" s="12" t="s">
        <v>140</v>
      </c>
      <c r="D76" s="11" t="s">
        <v>252</v>
      </c>
      <c r="E76" s="13" t="s">
        <v>410</v>
      </c>
      <c r="F76" s="13"/>
      <c r="G76" s="34"/>
      <c r="H76" s="78"/>
      <c r="I76" s="78"/>
      <c r="J76" s="56"/>
      <c r="K76" s="78"/>
      <c r="L76" s="62"/>
      <c r="M76" s="214">
        <f aca="true" t="shared" si="12" ref="M76:O77">M77</f>
        <v>3439.2</v>
      </c>
      <c r="N76" s="214">
        <f t="shared" si="12"/>
        <v>3438.88553</v>
      </c>
      <c r="O76" s="262">
        <f t="shared" si="2"/>
        <v>99.99085630379159</v>
      </c>
      <c r="P76" s="146"/>
    </row>
    <row r="77" spans="1:16" ht="25.5">
      <c r="A77" s="6" t="s">
        <v>97</v>
      </c>
      <c r="B77" s="3"/>
      <c r="C77" s="12" t="s">
        <v>140</v>
      </c>
      <c r="D77" s="11" t="s">
        <v>252</v>
      </c>
      <c r="E77" s="13" t="s">
        <v>410</v>
      </c>
      <c r="F77" s="13" t="s">
        <v>323</v>
      </c>
      <c r="G77" s="34"/>
      <c r="H77" s="78"/>
      <c r="I77" s="78"/>
      <c r="J77" s="56"/>
      <c r="K77" s="78"/>
      <c r="L77" s="62"/>
      <c r="M77" s="214">
        <f t="shared" si="12"/>
        <v>3439.2</v>
      </c>
      <c r="N77" s="214">
        <f t="shared" si="12"/>
        <v>3438.88553</v>
      </c>
      <c r="O77" s="262">
        <f t="shared" si="2"/>
        <v>99.99085630379159</v>
      </c>
      <c r="P77" s="146"/>
    </row>
    <row r="78" spans="1:16" ht="14.25">
      <c r="A78" s="6" t="s">
        <v>209</v>
      </c>
      <c r="B78" s="3"/>
      <c r="C78" s="12" t="s">
        <v>140</v>
      </c>
      <c r="D78" s="11" t="s">
        <v>252</v>
      </c>
      <c r="E78" s="13" t="s">
        <v>410</v>
      </c>
      <c r="F78" s="13" t="s">
        <v>323</v>
      </c>
      <c r="G78" s="157">
        <v>3</v>
      </c>
      <c r="H78" s="78"/>
      <c r="I78" s="78"/>
      <c r="J78" s="56"/>
      <c r="K78" s="78"/>
      <c r="L78" s="62"/>
      <c r="M78" s="214">
        <f>'проект бюджета 2013'!N72</f>
        <v>3439.2</v>
      </c>
      <c r="N78" s="214">
        <f>'проект бюджета 2013'!O72</f>
        <v>3438.88553</v>
      </c>
      <c r="O78" s="262">
        <f t="shared" si="2"/>
        <v>99.99085630379159</v>
      </c>
      <c r="P78" s="146"/>
    </row>
    <row r="79" spans="1:16" ht="14.25">
      <c r="A79" s="42" t="s">
        <v>263</v>
      </c>
      <c r="B79" s="3"/>
      <c r="C79" s="11" t="s">
        <v>264</v>
      </c>
      <c r="D79" s="11"/>
      <c r="E79" s="12"/>
      <c r="F79" s="13"/>
      <c r="G79" s="34"/>
      <c r="H79" s="78"/>
      <c r="I79" s="78">
        <f>I80</f>
        <v>767.9</v>
      </c>
      <c r="J79" s="56"/>
      <c r="K79" s="78">
        <f aca="true" t="shared" si="13" ref="K79:O82">K80</f>
        <v>767.9</v>
      </c>
      <c r="L79" s="78">
        <f t="shared" si="13"/>
        <v>787.5</v>
      </c>
      <c r="M79" s="216">
        <f t="shared" si="13"/>
        <v>847.5</v>
      </c>
      <c r="N79" s="216">
        <f t="shared" si="13"/>
        <v>847.5</v>
      </c>
      <c r="O79" s="262">
        <f t="shared" si="2"/>
        <v>100</v>
      </c>
      <c r="P79" s="146"/>
    </row>
    <row r="80" spans="1:16" ht="14.25">
      <c r="A80" s="6" t="s">
        <v>266</v>
      </c>
      <c r="B80" s="3"/>
      <c r="C80" s="11" t="s">
        <v>264</v>
      </c>
      <c r="D80" s="11" t="s">
        <v>265</v>
      </c>
      <c r="E80" s="12"/>
      <c r="F80" s="13"/>
      <c r="G80" s="34"/>
      <c r="H80" s="78"/>
      <c r="I80" s="78">
        <f>I81</f>
        <v>767.9</v>
      </c>
      <c r="J80" s="56"/>
      <c r="K80" s="78">
        <f t="shared" si="13"/>
        <v>767.9</v>
      </c>
      <c r="L80" s="78">
        <f t="shared" si="13"/>
        <v>787.5</v>
      </c>
      <c r="M80" s="216">
        <f t="shared" si="13"/>
        <v>847.5</v>
      </c>
      <c r="N80" s="216">
        <f t="shared" si="13"/>
        <v>847.5</v>
      </c>
      <c r="O80" s="262">
        <f t="shared" si="2"/>
        <v>100</v>
      </c>
      <c r="P80" s="146"/>
    </row>
    <row r="81" spans="1:16" ht="25.5">
      <c r="A81" s="6" t="s">
        <v>135</v>
      </c>
      <c r="B81" s="3"/>
      <c r="C81" s="11" t="s">
        <v>264</v>
      </c>
      <c r="D81" s="11" t="s">
        <v>265</v>
      </c>
      <c r="E81" s="12" t="s">
        <v>134</v>
      </c>
      <c r="F81" s="13"/>
      <c r="G81" s="34"/>
      <c r="H81" s="78"/>
      <c r="I81" s="78">
        <f>I82</f>
        <v>767.9</v>
      </c>
      <c r="J81" s="56"/>
      <c r="K81" s="78">
        <f t="shared" si="13"/>
        <v>767.9</v>
      </c>
      <c r="L81" s="78">
        <f t="shared" si="13"/>
        <v>787.5</v>
      </c>
      <c r="M81" s="216">
        <f t="shared" si="13"/>
        <v>847.5</v>
      </c>
      <c r="N81" s="216">
        <f t="shared" si="13"/>
        <v>847.5</v>
      </c>
      <c r="O81" s="262">
        <f aca="true" t="shared" si="14" ref="O81:O144">N81/M81*100</f>
        <v>100</v>
      </c>
      <c r="P81" s="146"/>
    </row>
    <row r="82" spans="1:16" ht="14.25">
      <c r="A82" s="6" t="s">
        <v>310</v>
      </c>
      <c r="B82" s="3"/>
      <c r="C82" s="11" t="s">
        <v>264</v>
      </c>
      <c r="D82" s="11" t="s">
        <v>265</v>
      </c>
      <c r="E82" s="12" t="s">
        <v>134</v>
      </c>
      <c r="F82" s="13" t="s">
        <v>311</v>
      </c>
      <c r="G82" s="34"/>
      <c r="H82" s="78"/>
      <c r="I82" s="78">
        <f>I83</f>
        <v>767.9</v>
      </c>
      <c r="J82" s="56"/>
      <c r="K82" s="78">
        <f t="shared" si="13"/>
        <v>767.9</v>
      </c>
      <c r="L82" s="78">
        <f t="shared" si="13"/>
        <v>787.5</v>
      </c>
      <c r="M82" s="216">
        <f t="shared" si="13"/>
        <v>847.5</v>
      </c>
      <c r="N82" s="216">
        <f t="shared" si="13"/>
        <v>847.5</v>
      </c>
      <c r="O82" s="262">
        <f t="shared" si="14"/>
        <v>100</v>
      </c>
      <c r="P82" s="146"/>
    </row>
    <row r="83" spans="1:16" ht="14.25">
      <c r="A83" s="6" t="s">
        <v>210</v>
      </c>
      <c r="B83" s="3"/>
      <c r="C83" s="11" t="s">
        <v>264</v>
      </c>
      <c r="D83" s="11" t="s">
        <v>265</v>
      </c>
      <c r="E83" s="12" t="s">
        <v>134</v>
      </c>
      <c r="F83" s="13" t="s">
        <v>311</v>
      </c>
      <c r="G83" s="157">
        <v>1</v>
      </c>
      <c r="H83" s="78"/>
      <c r="I83" s="78">
        <f>'проект бюджета 2013'!I270</f>
        <v>767.9</v>
      </c>
      <c r="J83" s="56"/>
      <c r="K83" s="78">
        <f>'проект бюджета 2013'!K270</f>
        <v>767.9</v>
      </c>
      <c r="L83" s="78">
        <f>'проект бюджета 2013'!M270</f>
        <v>787.5</v>
      </c>
      <c r="M83" s="216">
        <f>'проект бюджета 2013'!N270</f>
        <v>847.5</v>
      </c>
      <c r="N83" s="216">
        <f>'проект бюджета 2013'!O270</f>
        <v>847.5</v>
      </c>
      <c r="O83" s="262">
        <f t="shared" si="14"/>
        <v>100</v>
      </c>
      <c r="P83" s="146"/>
    </row>
    <row r="84" spans="1:16" s="24" customFormat="1" ht="28.5">
      <c r="A84" s="50" t="s">
        <v>37</v>
      </c>
      <c r="B84" s="50"/>
      <c r="C84" s="45" t="s">
        <v>141</v>
      </c>
      <c r="D84" s="45"/>
      <c r="E84" s="45"/>
      <c r="F84" s="45"/>
      <c r="G84" s="45"/>
      <c r="H84" s="62" t="e">
        <f>'проект бюджета 2013'!#REF!</f>
        <v>#REF!</v>
      </c>
      <c r="I84" s="62" t="e">
        <f>'проект бюджета 2013'!#REF!</f>
        <v>#REF!</v>
      </c>
      <c r="J84" s="56" t="e">
        <f t="shared" si="0"/>
        <v>#REF!</v>
      </c>
      <c r="K84" s="62" t="e">
        <f>K85</f>
        <v>#REF!</v>
      </c>
      <c r="L84" s="62" t="e">
        <f>L85</f>
        <v>#REF!</v>
      </c>
      <c r="M84" s="214">
        <f>M85</f>
        <v>0</v>
      </c>
      <c r="N84" s="214">
        <f>N85</f>
        <v>0</v>
      </c>
      <c r="O84" s="262"/>
      <c r="P84" s="146"/>
    </row>
    <row r="85" spans="1:16" ht="14.25">
      <c r="A85" s="5" t="s">
        <v>38</v>
      </c>
      <c r="B85" s="5"/>
      <c r="C85" s="12" t="s">
        <v>141</v>
      </c>
      <c r="D85" s="12" t="s">
        <v>189</v>
      </c>
      <c r="E85" s="12"/>
      <c r="F85" s="12"/>
      <c r="G85" s="12"/>
      <c r="H85" s="62" t="e">
        <f>'проект бюджета 2013'!#REF!</f>
        <v>#REF!</v>
      </c>
      <c r="I85" s="62" t="e">
        <f>'проект бюджета 2013'!#REF!</f>
        <v>#REF!</v>
      </c>
      <c r="J85" s="56" t="e">
        <f t="shared" si="0"/>
        <v>#REF!</v>
      </c>
      <c r="K85" s="62" t="e">
        <f>#REF!+K86</f>
        <v>#REF!</v>
      </c>
      <c r="L85" s="62" t="e">
        <f>#REF!+L86</f>
        <v>#REF!</v>
      </c>
      <c r="M85" s="214">
        <f>M86</f>
        <v>0</v>
      </c>
      <c r="N85" s="214">
        <f>N86</f>
        <v>0</v>
      </c>
      <c r="O85" s="262"/>
      <c r="P85" s="146"/>
    </row>
    <row r="86" spans="1:16" ht="38.25">
      <c r="A86" s="6" t="s">
        <v>365</v>
      </c>
      <c r="B86" s="3"/>
      <c r="C86" s="37" t="s">
        <v>141</v>
      </c>
      <c r="D86" s="37" t="s">
        <v>189</v>
      </c>
      <c r="E86" s="37" t="s">
        <v>271</v>
      </c>
      <c r="F86" s="13"/>
      <c r="G86" s="34"/>
      <c r="H86" s="78"/>
      <c r="I86" s="78"/>
      <c r="J86" s="56"/>
      <c r="K86" s="78">
        <f aca="true" t="shared" si="15" ref="K86:O87">K87</f>
        <v>150</v>
      </c>
      <c r="L86" s="78">
        <f t="shared" si="15"/>
        <v>10</v>
      </c>
      <c r="M86" s="216">
        <f t="shared" si="15"/>
        <v>0</v>
      </c>
      <c r="N86" s="216">
        <f t="shared" si="15"/>
        <v>0</v>
      </c>
      <c r="O86" s="262"/>
      <c r="P86" s="146"/>
    </row>
    <row r="87" spans="1:16" ht="25.5">
      <c r="A87" s="5" t="s">
        <v>97</v>
      </c>
      <c r="B87" s="3"/>
      <c r="C87" s="37" t="s">
        <v>141</v>
      </c>
      <c r="D87" s="37" t="s">
        <v>189</v>
      </c>
      <c r="E87" s="37" t="s">
        <v>271</v>
      </c>
      <c r="F87" s="13" t="s">
        <v>323</v>
      </c>
      <c r="G87" s="34"/>
      <c r="H87" s="78"/>
      <c r="I87" s="78"/>
      <c r="J87" s="56"/>
      <c r="K87" s="78">
        <f t="shared" si="15"/>
        <v>150</v>
      </c>
      <c r="L87" s="78">
        <f t="shared" si="15"/>
        <v>10</v>
      </c>
      <c r="M87" s="216">
        <f t="shared" si="15"/>
        <v>0</v>
      </c>
      <c r="N87" s="216">
        <f t="shared" si="15"/>
        <v>0</v>
      </c>
      <c r="O87" s="262"/>
      <c r="P87" s="146"/>
    </row>
    <row r="88" spans="1:16" ht="14.25">
      <c r="A88" s="6" t="s">
        <v>209</v>
      </c>
      <c r="B88" s="3"/>
      <c r="C88" s="37" t="s">
        <v>141</v>
      </c>
      <c r="D88" s="37" t="s">
        <v>189</v>
      </c>
      <c r="E88" s="37" t="s">
        <v>271</v>
      </c>
      <c r="F88" s="13" t="s">
        <v>323</v>
      </c>
      <c r="G88" s="157">
        <v>3</v>
      </c>
      <c r="H88" s="78"/>
      <c r="I88" s="78"/>
      <c r="J88" s="56"/>
      <c r="K88" s="78">
        <f>'проект бюджета 2013'!K77</f>
        <v>150</v>
      </c>
      <c r="L88" s="78">
        <f>'проект бюджета 2013'!M77</f>
        <v>10</v>
      </c>
      <c r="M88" s="216">
        <f>'проект бюджета 2013'!N77</f>
        <v>0</v>
      </c>
      <c r="N88" s="216">
        <f>'проект бюджета 2013'!O77</f>
        <v>0</v>
      </c>
      <c r="O88" s="262"/>
      <c r="P88" s="146"/>
    </row>
    <row r="89" spans="1:16" s="24" customFormat="1" ht="14.25">
      <c r="A89" s="3" t="s">
        <v>35</v>
      </c>
      <c r="B89" s="3"/>
      <c r="C89" s="10" t="s">
        <v>142</v>
      </c>
      <c r="D89" s="10">
        <v>0</v>
      </c>
      <c r="E89" s="10">
        <v>0</v>
      </c>
      <c r="F89" s="16"/>
      <c r="G89" s="16"/>
      <c r="H89" s="62" t="e">
        <f>#REF!+H95+H122</f>
        <v>#REF!</v>
      </c>
      <c r="I89" s="62" t="e">
        <f>#REF!+I95+I122</f>
        <v>#REF!</v>
      </c>
      <c r="J89" s="56" t="e">
        <f aca="true" t="shared" si="16" ref="J89:J152">I89-H89</f>
        <v>#REF!</v>
      </c>
      <c r="K89" s="62" t="e">
        <f>#REF!+K95+K122</f>
        <v>#REF!</v>
      </c>
      <c r="L89" s="62">
        <f>L95+L101</f>
        <v>2800</v>
      </c>
      <c r="M89" s="214">
        <f>M95+M101+M90</f>
        <v>13379.779</v>
      </c>
      <c r="N89" s="214">
        <f>N95+N101+N90</f>
        <v>13334.697579999998</v>
      </c>
      <c r="O89" s="262">
        <f t="shared" si="14"/>
        <v>99.66306304461379</v>
      </c>
      <c r="P89" s="146"/>
    </row>
    <row r="90" spans="1:16" ht="16.5" customHeight="1">
      <c r="A90" s="6" t="s">
        <v>15</v>
      </c>
      <c r="B90" s="6"/>
      <c r="C90" s="12" t="s">
        <v>142</v>
      </c>
      <c r="D90" s="12" t="s">
        <v>191</v>
      </c>
      <c r="E90" s="12"/>
      <c r="F90" s="13"/>
      <c r="G90" s="13"/>
      <c r="H90" s="62" t="e">
        <f>H94</f>
        <v>#REF!</v>
      </c>
      <c r="I90" s="62" t="e">
        <f>I94</f>
        <v>#REF!</v>
      </c>
      <c r="J90" s="56" t="e">
        <f t="shared" si="16"/>
        <v>#REF!</v>
      </c>
      <c r="K90" s="62" t="e">
        <f>K94</f>
        <v>#REF!</v>
      </c>
      <c r="L90" s="62" t="e">
        <f>L94</f>
        <v>#REF!</v>
      </c>
      <c r="M90" s="214">
        <f aca="true" t="shared" si="17" ref="M90:O93">M91</f>
        <v>0</v>
      </c>
      <c r="N90" s="214">
        <f t="shared" si="17"/>
        <v>0</v>
      </c>
      <c r="O90" s="262"/>
      <c r="P90" s="146"/>
    </row>
    <row r="91" spans="1:16" ht="16.5" customHeight="1">
      <c r="A91" s="6" t="s">
        <v>221</v>
      </c>
      <c r="B91" s="6"/>
      <c r="C91" s="11" t="s">
        <v>142</v>
      </c>
      <c r="D91" s="11" t="s">
        <v>191</v>
      </c>
      <c r="E91" s="37" t="s">
        <v>156</v>
      </c>
      <c r="F91" s="16"/>
      <c r="G91" s="34"/>
      <c r="H91" s="62"/>
      <c r="I91" s="62"/>
      <c r="J91" s="56"/>
      <c r="K91" s="62"/>
      <c r="L91" s="62"/>
      <c r="M91" s="214">
        <f t="shared" si="17"/>
        <v>0</v>
      </c>
      <c r="N91" s="214">
        <f t="shared" si="17"/>
        <v>0</v>
      </c>
      <c r="O91" s="262"/>
      <c r="P91" s="146"/>
    </row>
    <row r="92" spans="1:16" ht="54" customHeight="1">
      <c r="A92" s="105" t="s">
        <v>390</v>
      </c>
      <c r="B92" s="6"/>
      <c r="C92" s="11" t="s">
        <v>142</v>
      </c>
      <c r="D92" s="11" t="s">
        <v>191</v>
      </c>
      <c r="E92" s="37" t="s">
        <v>407</v>
      </c>
      <c r="F92" s="16"/>
      <c r="G92" s="34"/>
      <c r="H92" s="62"/>
      <c r="I92" s="62"/>
      <c r="J92" s="56"/>
      <c r="K92" s="62"/>
      <c r="L92" s="62"/>
      <c r="M92" s="214">
        <f t="shared" si="17"/>
        <v>0</v>
      </c>
      <c r="N92" s="214">
        <f t="shared" si="17"/>
        <v>0</v>
      </c>
      <c r="O92" s="262"/>
      <c r="P92" s="146"/>
    </row>
    <row r="93" spans="1:16" ht="27" customHeight="1">
      <c r="A93" s="6" t="s">
        <v>97</v>
      </c>
      <c r="B93" s="6"/>
      <c r="C93" s="11" t="s">
        <v>142</v>
      </c>
      <c r="D93" s="11" t="s">
        <v>191</v>
      </c>
      <c r="E93" s="13" t="s">
        <v>407</v>
      </c>
      <c r="F93" s="13" t="s">
        <v>323</v>
      </c>
      <c r="G93" s="34"/>
      <c r="H93" s="62"/>
      <c r="I93" s="62"/>
      <c r="J93" s="56"/>
      <c r="K93" s="62"/>
      <c r="L93" s="62"/>
      <c r="M93" s="214">
        <f t="shared" si="17"/>
        <v>0</v>
      </c>
      <c r="N93" s="214">
        <f t="shared" si="17"/>
        <v>0</v>
      </c>
      <c r="O93" s="262"/>
      <c r="P93" s="146"/>
    </row>
    <row r="94" spans="1:16" ht="15" customHeight="1">
      <c r="A94" s="6" t="s">
        <v>209</v>
      </c>
      <c r="B94" s="6"/>
      <c r="C94" s="11" t="s">
        <v>142</v>
      </c>
      <c r="D94" s="11" t="s">
        <v>191</v>
      </c>
      <c r="E94" s="13" t="s">
        <v>407</v>
      </c>
      <c r="F94" s="13" t="s">
        <v>323</v>
      </c>
      <c r="G94" s="157">
        <v>3</v>
      </c>
      <c r="H94" s="62" t="e">
        <f>#REF!</f>
        <v>#REF!</v>
      </c>
      <c r="I94" s="62" t="e">
        <f>#REF!</f>
        <v>#REF!</v>
      </c>
      <c r="J94" s="56" t="e">
        <f t="shared" si="16"/>
        <v>#REF!</v>
      </c>
      <c r="K94" s="62" t="e">
        <f>#REF!</f>
        <v>#REF!</v>
      </c>
      <c r="L94" s="62" t="e">
        <f>#REF!</f>
        <v>#REF!</v>
      </c>
      <c r="M94" s="214">
        <f>'проект бюджета 2013'!N83</f>
        <v>0</v>
      </c>
      <c r="N94" s="214">
        <f>'проект бюджета 2013'!O83</f>
        <v>0</v>
      </c>
      <c r="O94" s="262"/>
      <c r="P94" s="146"/>
    </row>
    <row r="95" spans="1:16" ht="14.25">
      <c r="A95" s="4" t="s">
        <v>223</v>
      </c>
      <c r="B95" s="4"/>
      <c r="C95" s="11" t="s">
        <v>142</v>
      </c>
      <c r="D95" s="11" t="s">
        <v>222</v>
      </c>
      <c r="E95" s="11"/>
      <c r="F95" s="16"/>
      <c r="G95" s="16"/>
      <c r="H95" s="62">
        <f aca="true" t="shared" si="18" ref="H95:O98">H96</f>
        <v>1920</v>
      </c>
      <c r="I95" s="62">
        <f t="shared" si="18"/>
        <v>1920</v>
      </c>
      <c r="J95" s="56">
        <f t="shared" si="16"/>
        <v>0</v>
      </c>
      <c r="K95" s="62">
        <f t="shared" si="18"/>
        <v>1920</v>
      </c>
      <c r="L95" s="62">
        <f t="shared" si="18"/>
        <v>2100</v>
      </c>
      <c r="M95" s="214">
        <f t="shared" si="18"/>
        <v>2399</v>
      </c>
      <c r="N95" s="214">
        <f t="shared" si="18"/>
        <v>2434.55863</v>
      </c>
      <c r="O95" s="262">
        <f t="shared" si="14"/>
        <v>101.48222717799082</v>
      </c>
      <c r="P95" s="146"/>
    </row>
    <row r="96" spans="1:16" ht="14.25">
      <c r="A96" s="5" t="s">
        <v>227</v>
      </c>
      <c r="B96" s="5"/>
      <c r="C96" s="11" t="s">
        <v>142</v>
      </c>
      <c r="D96" s="11" t="s">
        <v>222</v>
      </c>
      <c r="E96" s="12" t="s">
        <v>224</v>
      </c>
      <c r="F96" s="16"/>
      <c r="G96" s="16"/>
      <c r="H96" s="62">
        <f t="shared" si="18"/>
        <v>1920</v>
      </c>
      <c r="I96" s="62">
        <f t="shared" si="18"/>
        <v>1920</v>
      </c>
      <c r="J96" s="56">
        <f t="shared" si="16"/>
        <v>0</v>
      </c>
      <c r="K96" s="62">
        <f t="shared" si="18"/>
        <v>1920</v>
      </c>
      <c r="L96" s="62">
        <f t="shared" si="18"/>
        <v>2100</v>
      </c>
      <c r="M96" s="214">
        <f t="shared" si="18"/>
        <v>2399</v>
      </c>
      <c r="N96" s="214">
        <f t="shared" si="18"/>
        <v>2434.55863</v>
      </c>
      <c r="O96" s="262">
        <f t="shared" si="14"/>
        <v>101.48222717799082</v>
      </c>
      <c r="P96" s="146"/>
    </row>
    <row r="97" spans="1:16" ht="25.5">
      <c r="A97" s="5" t="s">
        <v>226</v>
      </c>
      <c r="B97" s="5"/>
      <c r="C97" s="11" t="s">
        <v>142</v>
      </c>
      <c r="D97" s="11" t="s">
        <v>222</v>
      </c>
      <c r="E97" s="12" t="s">
        <v>225</v>
      </c>
      <c r="F97" s="16"/>
      <c r="G97" s="16"/>
      <c r="H97" s="62">
        <f t="shared" si="18"/>
        <v>1920</v>
      </c>
      <c r="I97" s="62">
        <f t="shared" si="18"/>
        <v>1920</v>
      </c>
      <c r="J97" s="56">
        <f t="shared" si="16"/>
        <v>0</v>
      </c>
      <c r="K97" s="62">
        <f t="shared" si="18"/>
        <v>1920</v>
      </c>
      <c r="L97" s="62">
        <f t="shared" si="18"/>
        <v>2100</v>
      </c>
      <c r="M97" s="214">
        <f t="shared" si="18"/>
        <v>2399</v>
      </c>
      <c r="N97" s="214">
        <f t="shared" si="18"/>
        <v>2434.55863</v>
      </c>
      <c r="O97" s="262">
        <f t="shared" si="14"/>
        <v>101.48222717799082</v>
      </c>
      <c r="P97" s="146"/>
    </row>
    <row r="98" spans="1:16" ht="25.5">
      <c r="A98" s="6" t="s">
        <v>97</v>
      </c>
      <c r="B98" s="6"/>
      <c r="C98" s="11" t="s">
        <v>142</v>
      </c>
      <c r="D98" s="11" t="s">
        <v>222</v>
      </c>
      <c r="E98" s="12" t="s">
        <v>225</v>
      </c>
      <c r="F98" s="13" t="s">
        <v>323</v>
      </c>
      <c r="G98" s="13"/>
      <c r="H98" s="62">
        <f t="shared" si="18"/>
        <v>1920</v>
      </c>
      <c r="I98" s="62">
        <f t="shared" si="18"/>
        <v>1920</v>
      </c>
      <c r="J98" s="56">
        <f t="shared" si="16"/>
        <v>0</v>
      </c>
      <c r="K98" s="62">
        <f t="shared" si="18"/>
        <v>1920</v>
      </c>
      <c r="L98" s="62">
        <f t="shared" si="18"/>
        <v>2100</v>
      </c>
      <c r="M98" s="214">
        <f>M99+M100</f>
        <v>2399</v>
      </c>
      <c r="N98" s="214">
        <f>N99+N100</f>
        <v>2434.55863</v>
      </c>
      <c r="O98" s="262">
        <f t="shared" si="14"/>
        <v>101.48222717799082</v>
      </c>
      <c r="P98" s="146"/>
    </row>
    <row r="99" spans="1:16" ht="14.25">
      <c r="A99" s="6" t="s">
        <v>209</v>
      </c>
      <c r="B99" s="5"/>
      <c r="C99" s="11" t="s">
        <v>142</v>
      </c>
      <c r="D99" s="11" t="s">
        <v>222</v>
      </c>
      <c r="E99" s="12" t="s">
        <v>225</v>
      </c>
      <c r="F99" s="13" t="s">
        <v>323</v>
      </c>
      <c r="G99" s="156" t="s">
        <v>212</v>
      </c>
      <c r="H99" s="62">
        <f>'проект бюджета 2013'!H88</f>
        <v>1920</v>
      </c>
      <c r="I99" s="62">
        <f>'проект бюджета 2013'!I88</f>
        <v>1920</v>
      </c>
      <c r="J99" s="56">
        <f t="shared" si="16"/>
        <v>0</v>
      </c>
      <c r="K99" s="62">
        <f>'проект бюджета 2013'!K88</f>
        <v>1920</v>
      </c>
      <c r="L99" s="62">
        <f>'проект бюджета 2013'!M88</f>
        <v>2100</v>
      </c>
      <c r="M99" s="214">
        <f>'проект бюджета 2013'!N88</f>
        <v>2345</v>
      </c>
      <c r="N99" s="214">
        <f>'проект бюджета 2013'!O88</f>
        <v>2344.91878</v>
      </c>
      <c r="O99" s="262">
        <f t="shared" si="14"/>
        <v>99.99653646055438</v>
      </c>
      <c r="P99" s="146"/>
    </row>
    <row r="100" spans="1:16" ht="14.25">
      <c r="A100" s="200" t="s">
        <v>361</v>
      </c>
      <c r="B100" s="5"/>
      <c r="C100" s="201" t="s">
        <v>142</v>
      </c>
      <c r="D100" s="201" t="s">
        <v>222</v>
      </c>
      <c r="E100" s="185" t="s">
        <v>225</v>
      </c>
      <c r="F100" s="101" t="s">
        <v>323</v>
      </c>
      <c r="G100" s="187">
        <v>4</v>
      </c>
      <c r="H100" s="62"/>
      <c r="I100" s="62"/>
      <c r="J100" s="56"/>
      <c r="K100" s="62"/>
      <c r="L100" s="62"/>
      <c r="M100" s="214">
        <f>'проект бюджета 2013'!N89</f>
        <v>54</v>
      </c>
      <c r="N100" s="214">
        <f>'проект бюджета 2013'!O89</f>
        <v>89.63985</v>
      </c>
      <c r="O100" s="262">
        <f t="shared" si="14"/>
        <v>165.9997222222222</v>
      </c>
      <c r="P100" s="146"/>
    </row>
    <row r="101" spans="1:16" ht="14.25">
      <c r="A101" s="4" t="s">
        <v>299</v>
      </c>
      <c r="B101" s="13" t="s">
        <v>164</v>
      </c>
      <c r="C101" s="11" t="s">
        <v>142</v>
      </c>
      <c r="D101" s="11" t="s">
        <v>298</v>
      </c>
      <c r="E101" s="12"/>
      <c r="F101" s="13"/>
      <c r="G101" s="13"/>
      <c r="H101" s="62"/>
      <c r="I101" s="62"/>
      <c r="J101" s="56"/>
      <c r="K101" s="62"/>
      <c r="L101" s="62">
        <f>L119+L102</f>
        <v>700</v>
      </c>
      <c r="M101" s="214">
        <f>M119+M102+M109</f>
        <v>10980.779</v>
      </c>
      <c r="N101" s="214">
        <f>N119+N102+N109</f>
        <v>10900.138949999999</v>
      </c>
      <c r="O101" s="262">
        <f t="shared" si="14"/>
        <v>99.26562541692168</v>
      </c>
      <c r="P101" s="146"/>
    </row>
    <row r="102" spans="1:16" ht="25.5">
      <c r="A102" s="105" t="s">
        <v>290</v>
      </c>
      <c r="B102" s="13"/>
      <c r="C102" s="11" t="s">
        <v>142</v>
      </c>
      <c r="D102" s="11" t="s">
        <v>298</v>
      </c>
      <c r="E102" s="37" t="s">
        <v>291</v>
      </c>
      <c r="F102" s="13"/>
      <c r="G102" s="34"/>
      <c r="H102" s="62"/>
      <c r="I102" s="62"/>
      <c r="J102" s="56"/>
      <c r="K102" s="62"/>
      <c r="L102" s="62">
        <f aca="true" t="shared" si="19" ref="L102:O103">L103</f>
        <v>0</v>
      </c>
      <c r="M102" s="214">
        <f t="shared" si="19"/>
        <v>625.016</v>
      </c>
      <c r="N102" s="214">
        <f t="shared" si="19"/>
        <v>625.01555</v>
      </c>
      <c r="O102" s="262">
        <f t="shared" si="14"/>
        <v>99.99992800184316</v>
      </c>
      <c r="P102" s="146"/>
    </row>
    <row r="103" spans="1:16" ht="38.25">
      <c r="A103" s="105" t="s">
        <v>379</v>
      </c>
      <c r="B103" s="13"/>
      <c r="C103" s="11" t="s">
        <v>142</v>
      </c>
      <c r="D103" s="11" t="s">
        <v>298</v>
      </c>
      <c r="E103" s="37" t="s">
        <v>378</v>
      </c>
      <c r="F103" s="13"/>
      <c r="G103" s="34"/>
      <c r="H103" s="62"/>
      <c r="I103" s="62"/>
      <c r="J103" s="56"/>
      <c r="K103" s="62"/>
      <c r="L103" s="62">
        <f t="shared" si="19"/>
        <v>0</v>
      </c>
      <c r="M103" s="214">
        <f t="shared" si="19"/>
        <v>625.016</v>
      </c>
      <c r="N103" s="214">
        <f t="shared" si="19"/>
        <v>625.01555</v>
      </c>
      <c r="O103" s="262">
        <f t="shared" si="14"/>
        <v>99.99992800184316</v>
      </c>
      <c r="P103" s="146"/>
    </row>
    <row r="104" spans="1:16" ht="14.25">
      <c r="A104" s="6" t="s">
        <v>339</v>
      </c>
      <c r="B104" s="13"/>
      <c r="C104" s="11" t="s">
        <v>142</v>
      </c>
      <c r="D104" s="11" t="s">
        <v>298</v>
      </c>
      <c r="E104" s="37" t="s">
        <v>378</v>
      </c>
      <c r="F104" s="13" t="s">
        <v>20</v>
      </c>
      <c r="G104" s="34"/>
      <c r="H104" s="62"/>
      <c r="I104" s="62"/>
      <c r="J104" s="56"/>
      <c r="K104" s="62"/>
      <c r="L104" s="62">
        <f>L105+L106+L107</f>
        <v>0</v>
      </c>
      <c r="M104" s="214">
        <f>M105+M106+M107+M108</f>
        <v>625.016</v>
      </c>
      <c r="N104" s="214">
        <f>N105+N106+N107+N108</f>
        <v>625.01555</v>
      </c>
      <c r="O104" s="262">
        <f t="shared" si="14"/>
        <v>99.99992800184316</v>
      </c>
      <c r="P104" s="146"/>
    </row>
    <row r="105" spans="1:16" ht="14.25">
      <c r="A105" s="6" t="s">
        <v>210</v>
      </c>
      <c r="B105" s="13"/>
      <c r="C105" s="11" t="s">
        <v>142</v>
      </c>
      <c r="D105" s="11" t="s">
        <v>298</v>
      </c>
      <c r="E105" s="37" t="s">
        <v>378</v>
      </c>
      <c r="F105" s="13" t="s">
        <v>20</v>
      </c>
      <c r="G105" s="157">
        <v>1</v>
      </c>
      <c r="H105" s="62"/>
      <c r="I105" s="62"/>
      <c r="J105" s="56"/>
      <c r="K105" s="62"/>
      <c r="L105" s="62">
        <f>'проект бюджета 2013'!M94</f>
        <v>0</v>
      </c>
      <c r="M105" s="214">
        <f>'проект бюджета 2013'!N94</f>
        <v>0</v>
      </c>
      <c r="N105" s="214">
        <f>'проект бюджета 2013'!O94</f>
        <v>0</v>
      </c>
      <c r="O105" s="262"/>
      <c r="P105" s="146"/>
    </row>
    <row r="106" spans="1:16" ht="14.25">
      <c r="A106" s="6" t="s">
        <v>211</v>
      </c>
      <c r="B106" s="13"/>
      <c r="C106" s="11" t="s">
        <v>142</v>
      </c>
      <c r="D106" s="11" t="s">
        <v>298</v>
      </c>
      <c r="E106" s="37" t="s">
        <v>378</v>
      </c>
      <c r="F106" s="13" t="s">
        <v>20</v>
      </c>
      <c r="G106" s="157">
        <v>2</v>
      </c>
      <c r="H106" s="62"/>
      <c r="I106" s="62"/>
      <c r="J106" s="56"/>
      <c r="K106" s="62"/>
      <c r="L106" s="62">
        <f>'проект бюджета 2013'!M95</f>
        <v>0</v>
      </c>
      <c r="M106" s="214">
        <f>'проект бюджета 2013'!N95</f>
        <v>0</v>
      </c>
      <c r="N106" s="214">
        <f>'проект бюджета 2013'!O95</f>
        <v>0</v>
      </c>
      <c r="O106" s="262"/>
      <c r="P106" s="146"/>
    </row>
    <row r="107" spans="1:16" ht="14.25">
      <c r="A107" s="6" t="s">
        <v>209</v>
      </c>
      <c r="B107" s="13"/>
      <c r="C107" s="11" t="s">
        <v>142</v>
      </c>
      <c r="D107" s="11" t="s">
        <v>298</v>
      </c>
      <c r="E107" s="37" t="s">
        <v>378</v>
      </c>
      <c r="F107" s="13" t="s">
        <v>20</v>
      </c>
      <c r="G107" s="157">
        <v>3</v>
      </c>
      <c r="H107" s="62"/>
      <c r="I107" s="62"/>
      <c r="J107" s="56"/>
      <c r="K107" s="62"/>
      <c r="L107" s="62">
        <f>'проект бюджета 2013'!M96</f>
        <v>0</v>
      </c>
      <c r="M107" s="214">
        <f>'проект бюджета 2013'!N96</f>
        <v>170.169</v>
      </c>
      <c r="N107" s="214">
        <f>'проект бюджета 2013'!O96</f>
        <v>170.16855</v>
      </c>
      <c r="O107" s="262">
        <f t="shared" si="14"/>
        <v>99.9997355570051</v>
      </c>
      <c r="P107" s="146"/>
    </row>
    <row r="108" spans="1:16" ht="14.25">
      <c r="A108" s="51" t="s">
        <v>361</v>
      </c>
      <c r="B108" s="13"/>
      <c r="C108" s="11" t="s">
        <v>142</v>
      </c>
      <c r="D108" s="11" t="s">
        <v>298</v>
      </c>
      <c r="E108" s="37" t="s">
        <v>378</v>
      </c>
      <c r="F108" s="13" t="s">
        <v>20</v>
      </c>
      <c r="G108" s="34">
        <v>4</v>
      </c>
      <c r="H108" s="62"/>
      <c r="I108" s="62"/>
      <c r="J108" s="56"/>
      <c r="K108" s="62"/>
      <c r="L108" s="62"/>
      <c r="M108" s="214">
        <f>'проект бюджета 2013'!N97</f>
        <v>454.847</v>
      </c>
      <c r="N108" s="214">
        <f>'проект бюджета 2013'!O97</f>
        <v>454.847</v>
      </c>
      <c r="O108" s="262">
        <f t="shared" si="14"/>
        <v>100</v>
      </c>
      <c r="P108" s="146"/>
    </row>
    <row r="109" spans="1:16" ht="14.25">
      <c r="A109" s="105" t="s">
        <v>300</v>
      </c>
      <c r="B109" s="13"/>
      <c r="C109" s="11" t="s">
        <v>142</v>
      </c>
      <c r="D109" s="11" t="s">
        <v>298</v>
      </c>
      <c r="E109" s="37" t="s">
        <v>301</v>
      </c>
      <c r="F109" s="13"/>
      <c r="G109" s="13"/>
      <c r="H109" s="62"/>
      <c r="I109" s="62"/>
      <c r="J109" s="56"/>
      <c r="K109" s="62"/>
      <c r="L109" s="62"/>
      <c r="M109" s="214">
        <f>M110+M116</f>
        <v>10014.155</v>
      </c>
      <c r="N109" s="214">
        <f>N110+N116</f>
        <v>9933.5163</v>
      </c>
      <c r="O109" s="262">
        <f t="shared" si="14"/>
        <v>99.19475282737284</v>
      </c>
      <c r="P109" s="146"/>
    </row>
    <row r="110" spans="1:16" ht="14.25">
      <c r="A110" s="105" t="s">
        <v>385</v>
      </c>
      <c r="B110" s="13"/>
      <c r="C110" s="11" t="s">
        <v>142</v>
      </c>
      <c r="D110" s="11" t="s">
        <v>298</v>
      </c>
      <c r="E110" s="37" t="s">
        <v>384</v>
      </c>
      <c r="F110" s="13"/>
      <c r="G110" s="13"/>
      <c r="H110" s="62"/>
      <c r="I110" s="62"/>
      <c r="J110" s="56"/>
      <c r="K110" s="62"/>
      <c r="L110" s="62">
        <f>L111</f>
        <v>0</v>
      </c>
      <c r="M110" s="214">
        <f>M111</f>
        <v>8739.555</v>
      </c>
      <c r="N110" s="214">
        <f>N111</f>
        <v>8658.91663</v>
      </c>
      <c r="O110" s="262">
        <f t="shared" si="14"/>
        <v>99.07731720894255</v>
      </c>
      <c r="P110" s="146"/>
    </row>
    <row r="111" spans="1:16" ht="14.25">
      <c r="A111" s="109" t="s">
        <v>26</v>
      </c>
      <c r="B111" s="13"/>
      <c r="C111" s="11" t="s">
        <v>142</v>
      </c>
      <c r="D111" s="11" t="s">
        <v>298</v>
      </c>
      <c r="E111" s="37" t="s">
        <v>384</v>
      </c>
      <c r="F111" s="13" t="s">
        <v>23</v>
      </c>
      <c r="G111" s="13"/>
      <c r="H111" s="62"/>
      <c r="I111" s="62"/>
      <c r="J111" s="56"/>
      <c r="K111" s="62"/>
      <c r="L111" s="62">
        <f>L112+L113+L114</f>
        <v>0</v>
      </c>
      <c r="M111" s="214">
        <f>M112+M113+M114+M115</f>
        <v>8739.555</v>
      </c>
      <c r="N111" s="214">
        <f>N112+N113+N114+N115</f>
        <v>8658.91663</v>
      </c>
      <c r="O111" s="262">
        <f t="shared" si="14"/>
        <v>99.07731720894255</v>
      </c>
      <c r="P111" s="146"/>
    </row>
    <row r="112" spans="1:16" ht="14.25">
      <c r="A112" s="6" t="s">
        <v>210</v>
      </c>
      <c r="B112" s="13"/>
      <c r="C112" s="11" t="s">
        <v>142</v>
      </c>
      <c r="D112" s="11" t="s">
        <v>298</v>
      </c>
      <c r="E112" s="37" t="s">
        <v>384</v>
      </c>
      <c r="F112" s="13" t="s">
        <v>23</v>
      </c>
      <c r="G112" s="157">
        <v>1</v>
      </c>
      <c r="H112" s="62"/>
      <c r="I112" s="62"/>
      <c r="J112" s="56"/>
      <c r="K112" s="62"/>
      <c r="L112" s="62">
        <f>'проект бюджета 2013'!M101</f>
        <v>0</v>
      </c>
      <c r="M112" s="214">
        <f>'проект бюджета 2013'!N101</f>
        <v>0</v>
      </c>
      <c r="N112" s="214">
        <f>'проект бюджета 2013'!O101</f>
        <v>0</v>
      </c>
      <c r="O112" s="262"/>
      <c r="P112" s="146"/>
    </row>
    <row r="113" spans="1:16" ht="14.25">
      <c r="A113" s="6" t="s">
        <v>211</v>
      </c>
      <c r="B113" s="13"/>
      <c r="C113" s="11" t="s">
        <v>142</v>
      </c>
      <c r="D113" s="11" t="s">
        <v>298</v>
      </c>
      <c r="E113" s="37" t="s">
        <v>384</v>
      </c>
      <c r="F113" s="13" t="s">
        <v>23</v>
      </c>
      <c r="G113" s="157">
        <v>2</v>
      </c>
      <c r="H113" s="62"/>
      <c r="I113" s="62"/>
      <c r="J113" s="56"/>
      <c r="K113" s="62"/>
      <c r="L113" s="62">
        <f>'проект бюджета 2013'!M102</f>
        <v>0</v>
      </c>
      <c r="M113" s="214">
        <f>'проект бюджета 2013'!N102</f>
        <v>6735</v>
      </c>
      <c r="N113" s="214">
        <f>'проект бюджета 2013'!O102</f>
        <v>6701.084</v>
      </c>
      <c r="O113" s="262">
        <f t="shared" si="14"/>
        <v>99.49642167780253</v>
      </c>
      <c r="P113" s="146"/>
    </row>
    <row r="114" spans="1:16" ht="14.25">
      <c r="A114" s="6" t="s">
        <v>209</v>
      </c>
      <c r="B114" s="13"/>
      <c r="C114" s="11" t="s">
        <v>142</v>
      </c>
      <c r="D114" s="11" t="s">
        <v>298</v>
      </c>
      <c r="E114" s="37" t="s">
        <v>384</v>
      </c>
      <c r="F114" s="13" t="s">
        <v>23</v>
      </c>
      <c r="G114" s="157">
        <v>3</v>
      </c>
      <c r="H114" s="62"/>
      <c r="I114" s="62"/>
      <c r="J114" s="56"/>
      <c r="K114" s="62"/>
      <c r="L114" s="62">
        <f>'проект бюджета 2013'!M103</f>
        <v>0</v>
      </c>
      <c r="M114" s="214">
        <f>'проект бюджета 2013'!N103</f>
        <v>1590.1450000000002</v>
      </c>
      <c r="N114" s="214">
        <f>'проект бюджета 2013'!O103</f>
        <v>1590.14463</v>
      </c>
      <c r="O114" s="262">
        <f t="shared" si="14"/>
        <v>99.9999767316817</v>
      </c>
      <c r="P114" s="146"/>
    </row>
    <row r="115" spans="1:16" ht="14.25">
      <c r="A115" s="51" t="s">
        <v>361</v>
      </c>
      <c r="B115" s="13"/>
      <c r="C115" s="11" t="s">
        <v>142</v>
      </c>
      <c r="D115" s="11" t="s">
        <v>298</v>
      </c>
      <c r="E115" s="37" t="s">
        <v>384</v>
      </c>
      <c r="F115" s="13" t="s">
        <v>23</v>
      </c>
      <c r="G115" s="34">
        <v>4</v>
      </c>
      <c r="H115" s="62"/>
      <c r="I115" s="62"/>
      <c r="J115" s="56"/>
      <c r="K115" s="62"/>
      <c r="L115" s="62"/>
      <c r="M115" s="214">
        <f>'проект бюджета 2013'!N104</f>
        <v>414.41</v>
      </c>
      <c r="N115" s="214">
        <f>'проект бюджета 2013'!O104</f>
        <v>367.688</v>
      </c>
      <c r="O115" s="262">
        <f t="shared" si="14"/>
        <v>88.72565816461957</v>
      </c>
      <c r="P115" s="146"/>
    </row>
    <row r="116" spans="1:16" ht="25.5">
      <c r="A116" s="105" t="s">
        <v>303</v>
      </c>
      <c r="B116" s="13"/>
      <c r="C116" s="11" t="s">
        <v>142</v>
      </c>
      <c r="D116" s="11" t="s">
        <v>298</v>
      </c>
      <c r="E116" s="37" t="s">
        <v>302</v>
      </c>
      <c r="F116" s="13"/>
      <c r="G116" s="34"/>
      <c r="H116" s="62"/>
      <c r="I116" s="62"/>
      <c r="J116" s="56"/>
      <c r="K116" s="62"/>
      <c r="L116" s="62"/>
      <c r="M116" s="214">
        <f aca="true" t="shared" si="20" ref="M116:O117">M117</f>
        <v>1274.6</v>
      </c>
      <c r="N116" s="214">
        <f t="shared" si="20"/>
        <v>1274.59967</v>
      </c>
      <c r="O116" s="262">
        <f t="shared" si="14"/>
        <v>99.99997410952457</v>
      </c>
      <c r="P116" s="146"/>
    </row>
    <row r="117" spans="1:16" ht="25.5">
      <c r="A117" s="6" t="s">
        <v>97</v>
      </c>
      <c r="B117" s="13"/>
      <c r="C117" s="11" t="s">
        <v>142</v>
      </c>
      <c r="D117" s="11" t="s">
        <v>298</v>
      </c>
      <c r="E117" s="37" t="s">
        <v>302</v>
      </c>
      <c r="F117" s="13" t="s">
        <v>323</v>
      </c>
      <c r="G117" s="34"/>
      <c r="H117" s="62"/>
      <c r="I117" s="62"/>
      <c r="J117" s="56"/>
      <c r="K117" s="62"/>
      <c r="L117" s="62"/>
      <c r="M117" s="214">
        <f t="shared" si="20"/>
        <v>1274.6</v>
      </c>
      <c r="N117" s="214">
        <f t="shared" si="20"/>
        <v>1274.59967</v>
      </c>
      <c r="O117" s="262">
        <f t="shared" si="14"/>
        <v>99.99997410952457</v>
      </c>
      <c r="P117" s="146"/>
    </row>
    <row r="118" spans="1:16" ht="14.25">
      <c r="A118" s="6" t="s">
        <v>209</v>
      </c>
      <c r="B118" s="13"/>
      <c r="C118" s="11" t="s">
        <v>142</v>
      </c>
      <c r="D118" s="11" t="s">
        <v>298</v>
      </c>
      <c r="E118" s="37" t="s">
        <v>302</v>
      </c>
      <c r="F118" s="13" t="s">
        <v>323</v>
      </c>
      <c r="G118" s="157">
        <v>3</v>
      </c>
      <c r="H118" s="62"/>
      <c r="I118" s="62"/>
      <c r="J118" s="56"/>
      <c r="K118" s="62"/>
      <c r="L118" s="62"/>
      <c r="M118" s="214">
        <f>'проект бюджета 2013'!N107</f>
        <v>1274.6</v>
      </c>
      <c r="N118" s="214">
        <f>'проект бюджета 2013'!O107</f>
        <v>1274.59967</v>
      </c>
      <c r="O118" s="262">
        <f t="shared" si="14"/>
        <v>99.99997410952457</v>
      </c>
      <c r="P118" s="146"/>
    </row>
    <row r="119" spans="1:16" ht="14.25">
      <c r="A119" s="6" t="s">
        <v>221</v>
      </c>
      <c r="B119" s="13" t="s">
        <v>164</v>
      </c>
      <c r="C119" s="11" t="s">
        <v>142</v>
      </c>
      <c r="D119" s="11" t="s">
        <v>298</v>
      </c>
      <c r="E119" s="37" t="s">
        <v>156</v>
      </c>
      <c r="F119" s="13"/>
      <c r="G119" s="13"/>
      <c r="H119" s="62"/>
      <c r="I119" s="62"/>
      <c r="J119" s="56"/>
      <c r="K119" s="62"/>
      <c r="L119" s="62">
        <f>L120+L110</f>
        <v>700</v>
      </c>
      <c r="M119" s="214">
        <f aca="true" t="shared" si="21" ref="M119:O121">M120</f>
        <v>341.60799999999995</v>
      </c>
      <c r="N119" s="214">
        <f t="shared" si="21"/>
        <v>341.6071</v>
      </c>
      <c r="O119" s="262">
        <f t="shared" si="14"/>
        <v>99.99973654012788</v>
      </c>
      <c r="P119" s="146"/>
    </row>
    <row r="120" spans="1:16" ht="51">
      <c r="A120" s="105" t="s">
        <v>399</v>
      </c>
      <c r="B120" s="13" t="s">
        <v>164</v>
      </c>
      <c r="C120" s="11" t="s">
        <v>142</v>
      </c>
      <c r="D120" s="11" t="s">
        <v>298</v>
      </c>
      <c r="E120" s="37" t="s">
        <v>411</v>
      </c>
      <c r="F120" s="13"/>
      <c r="G120" s="13"/>
      <c r="H120" s="62"/>
      <c r="I120" s="62"/>
      <c r="J120" s="56"/>
      <c r="K120" s="62"/>
      <c r="L120" s="62">
        <f>L121</f>
        <v>700</v>
      </c>
      <c r="M120" s="214">
        <f t="shared" si="21"/>
        <v>341.60799999999995</v>
      </c>
      <c r="N120" s="214">
        <f t="shared" si="21"/>
        <v>341.6071</v>
      </c>
      <c r="O120" s="262">
        <f t="shared" si="14"/>
        <v>99.99973654012788</v>
      </c>
      <c r="P120" s="146"/>
    </row>
    <row r="121" spans="1:16" ht="25.5">
      <c r="A121" s="6" t="s">
        <v>97</v>
      </c>
      <c r="B121" s="13" t="s">
        <v>164</v>
      </c>
      <c r="C121" s="11" t="s">
        <v>142</v>
      </c>
      <c r="D121" s="11" t="s">
        <v>298</v>
      </c>
      <c r="E121" s="37" t="s">
        <v>411</v>
      </c>
      <c r="F121" s="13" t="s">
        <v>323</v>
      </c>
      <c r="G121" s="13"/>
      <c r="H121" s="62"/>
      <c r="I121" s="62"/>
      <c r="J121" s="56"/>
      <c r="K121" s="62"/>
      <c r="L121" s="62">
        <f>L122</f>
        <v>700</v>
      </c>
      <c r="M121" s="214">
        <f t="shared" si="21"/>
        <v>341.60799999999995</v>
      </c>
      <c r="N121" s="214">
        <f t="shared" si="21"/>
        <v>341.6071</v>
      </c>
      <c r="O121" s="262">
        <f t="shared" si="14"/>
        <v>99.99973654012788</v>
      </c>
      <c r="P121" s="146"/>
    </row>
    <row r="122" spans="1:16" ht="14.25">
      <c r="A122" s="6" t="s">
        <v>209</v>
      </c>
      <c r="B122" s="13" t="s">
        <v>164</v>
      </c>
      <c r="C122" s="11" t="s">
        <v>142</v>
      </c>
      <c r="D122" s="11" t="s">
        <v>298</v>
      </c>
      <c r="E122" s="37" t="s">
        <v>411</v>
      </c>
      <c r="F122" s="13" t="s">
        <v>323</v>
      </c>
      <c r="G122" s="156" t="s">
        <v>212</v>
      </c>
      <c r="H122" s="62" t="e">
        <f>#REF!+#REF!</f>
        <v>#REF!</v>
      </c>
      <c r="I122" s="62" t="e">
        <f>#REF!+#REF!+#REF!</f>
        <v>#REF!</v>
      </c>
      <c r="J122" s="56" t="e">
        <f t="shared" si="16"/>
        <v>#REF!</v>
      </c>
      <c r="K122" s="62" t="e">
        <f>#REF!+#REF!+#REF!</f>
        <v>#REF!</v>
      </c>
      <c r="L122" s="62">
        <f>'проект бюджета 2013'!M107</f>
        <v>700</v>
      </c>
      <c r="M122" s="214">
        <f>'проект бюджета 2013'!N111</f>
        <v>341.60799999999995</v>
      </c>
      <c r="N122" s="214">
        <f>'проект бюджета 2013'!O111</f>
        <v>341.6071</v>
      </c>
      <c r="O122" s="262">
        <f t="shared" si="14"/>
        <v>99.99973654012788</v>
      </c>
      <c r="P122" s="146"/>
    </row>
    <row r="123" spans="1:16" ht="14.25">
      <c r="A123" s="44" t="s">
        <v>150</v>
      </c>
      <c r="B123" s="44"/>
      <c r="C123" s="42" t="s">
        <v>143</v>
      </c>
      <c r="D123" s="42"/>
      <c r="E123" s="42"/>
      <c r="F123" s="43"/>
      <c r="G123" s="43"/>
      <c r="H123" s="62" t="e">
        <f>H124+H130+#REF!</f>
        <v>#REF!</v>
      </c>
      <c r="I123" s="62" t="e">
        <f>I124+I130+#REF!</f>
        <v>#REF!</v>
      </c>
      <c r="J123" s="56" t="e">
        <f t="shared" si="16"/>
        <v>#REF!</v>
      </c>
      <c r="K123" s="62" t="e">
        <f>K124+K130+#REF!</f>
        <v>#REF!</v>
      </c>
      <c r="L123" s="62" t="e">
        <f>L124+L130</f>
        <v>#REF!</v>
      </c>
      <c r="M123" s="214">
        <f>M124+M130</f>
        <v>15455.920999999998</v>
      </c>
      <c r="N123" s="214">
        <f>N124+N130</f>
        <v>16155.83152</v>
      </c>
      <c r="O123" s="262">
        <f t="shared" si="14"/>
        <v>104.52842971958773</v>
      </c>
      <c r="P123" s="146"/>
    </row>
    <row r="124" spans="1:16" ht="14.25">
      <c r="A124" s="6" t="s">
        <v>208</v>
      </c>
      <c r="B124" s="6"/>
      <c r="C124" s="12" t="s">
        <v>143</v>
      </c>
      <c r="D124" s="12" t="s">
        <v>190</v>
      </c>
      <c r="E124" s="12"/>
      <c r="F124" s="13"/>
      <c r="G124" s="13"/>
      <c r="H124" s="62" t="e">
        <f>H125+H127+#REF!</f>
        <v>#REF!</v>
      </c>
      <c r="I124" s="62" t="e">
        <f>I125+I127+#REF!</f>
        <v>#REF!</v>
      </c>
      <c r="J124" s="56" t="e">
        <f t="shared" si="16"/>
        <v>#REF!</v>
      </c>
      <c r="K124" s="62" t="e">
        <f>K125+K127+#REF!</f>
        <v>#REF!</v>
      </c>
      <c r="L124" s="62">
        <f>L125+L127</f>
        <v>350.155</v>
      </c>
      <c r="M124" s="214">
        <f>M125+M127</f>
        <v>0</v>
      </c>
      <c r="N124" s="214">
        <f>N125+N127</f>
        <v>0</v>
      </c>
      <c r="O124" s="262"/>
      <c r="P124" s="146"/>
    </row>
    <row r="125" spans="1:16" ht="63.75">
      <c r="A125" s="6" t="s">
        <v>152</v>
      </c>
      <c r="B125" s="6"/>
      <c r="C125" s="12" t="s">
        <v>143</v>
      </c>
      <c r="D125" s="12" t="s">
        <v>190</v>
      </c>
      <c r="E125" s="12" t="s">
        <v>153</v>
      </c>
      <c r="F125" s="13" t="s">
        <v>154</v>
      </c>
      <c r="G125" s="65"/>
      <c r="H125" s="62">
        <f>H126</f>
        <v>11861.353</v>
      </c>
      <c r="I125" s="62">
        <f>I126</f>
        <v>0</v>
      </c>
      <c r="J125" s="56">
        <f t="shared" si="16"/>
        <v>-11861.353</v>
      </c>
      <c r="K125" s="62">
        <f>K126</f>
        <v>0</v>
      </c>
      <c r="L125" s="62">
        <f>L126</f>
        <v>0</v>
      </c>
      <c r="M125" s="214">
        <f>M126</f>
        <v>0</v>
      </c>
      <c r="N125" s="214">
        <f>N126</f>
        <v>0</v>
      </c>
      <c r="O125" s="262"/>
      <c r="P125" s="146"/>
    </row>
    <row r="126" spans="1:16" s="69" customFormat="1" ht="14.25">
      <c r="A126" s="6" t="s">
        <v>210</v>
      </c>
      <c r="B126" s="6"/>
      <c r="C126" s="12" t="s">
        <v>143</v>
      </c>
      <c r="D126" s="12" t="s">
        <v>190</v>
      </c>
      <c r="E126" s="12" t="s">
        <v>153</v>
      </c>
      <c r="F126" s="13" t="s">
        <v>154</v>
      </c>
      <c r="G126" s="165" t="s">
        <v>213</v>
      </c>
      <c r="H126" s="62">
        <f>'проект бюджета 2013'!H274</f>
        <v>11861.353</v>
      </c>
      <c r="I126" s="62">
        <f>'проект бюджета 2013'!I274</f>
        <v>0</v>
      </c>
      <c r="J126" s="56">
        <f t="shared" si="16"/>
        <v>-11861.353</v>
      </c>
      <c r="K126" s="62">
        <f>'проект бюджета 2013'!K274</f>
        <v>0</v>
      </c>
      <c r="L126" s="62">
        <f>'проект бюджета 2013'!M274+'проект бюджета 2013'!M115</f>
        <v>0</v>
      </c>
      <c r="M126" s="214">
        <f>'проект бюджета 2013'!N274+'проект бюджета 2013'!N115</f>
        <v>0</v>
      </c>
      <c r="N126" s="214">
        <f>'проект бюджета 2013'!O274+'проект бюджета 2013'!O115</f>
        <v>0</v>
      </c>
      <c r="O126" s="262"/>
      <c r="P126" s="146"/>
    </row>
    <row r="127" spans="1:16" ht="63.75">
      <c r="A127" s="6" t="s">
        <v>152</v>
      </c>
      <c r="B127" s="6"/>
      <c r="C127" s="12" t="s">
        <v>143</v>
      </c>
      <c r="D127" s="12" t="s">
        <v>190</v>
      </c>
      <c r="E127" s="12" t="s">
        <v>155</v>
      </c>
      <c r="F127" s="13" t="s">
        <v>154</v>
      </c>
      <c r="G127" s="65"/>
      <c r="H127" s="62">
        <f>H129+H128</f>
        <v>871.18</v>
      </c>
      <c r="I127" s="62">
        <f>I129+I128</f>
        <v>50</v>
      </c>
      <c r="J127" s="56">
        <f t="shared" si="16"/>
        <v>-821.18</v>
      </c>
      <c r="K127" s="62">
        <f>K129+K128</f>
        <v>50</v>
      </c>
      <c r="L127" s="62">
        <f>L129+L128</f>
        <v>350.155</v>
      </c>
      <c r="M127" s="214">
        <f>M129+M128</f>
        <v>0</v>
      </c>
      <c r="N127" s="214">
        <f>N129+N128</f>
        <v>0</v>
      </c>
      <c r="O127" s="262"/>
      <c r="P127" s="146"/>
    </row>
    <row r="128" spans="1:16" s="68" customFormat="1" ht="14.25">
      <c r="A128" s="6" t="s">
        <v>211</v>
      </c>
      <c r="B128" s="6"/>
      <c r="C128" s="12" t="s">
        <v>143</v>
      </c>
      <c r="D128" s="12" t="s">
        <v>190</v>
      </c>
      <c r="E128" s="12" t="s">
        <v>155</v>
      </c>
      <c r="F128" s="13" t="s">
        <v>154</v>
      </c>
      <c r="G128" s="157">
        <v>2</v>
      </c>
      <c r="H128" s="62">
        <f>'проект бюджета 2013'!H276</f>
        <v>793.833</v>
      </c>
      <c r="I128" s="62">
        <f>'проект бюджета 2013'!I276</f>
        <v>0</v>
      </c>
      <c r="J128" s="56">
        <f t="shared" si="16"/>
        <v>-793.833</v>
      </c>
      <c r="K128" s="62">
        <f>'проект бюджета 2013'!K276</f>
        <v>0</v>
      </c>
      <c r="L128" s="62">
        <f>'проект бюджета 2013'!M276+'проект бюджета 2013'!M117</f>
        <v>0</v>
      </c>
      <c r="M128" s="214">
        <f>'проект бюджета 2013'!N276+'проект бюджета 2013'!N117</f>
        <v>0</v>
      </c>
      <c r="N128" s="214">
        <f>'проект бюджета 2013'!O276+'проект бюджета 2013'!O117</f>
        <v>0</v>
      </c>
      <c r="O128" s="262"/>
      <c r="P128" s="146"/>
    </row>
    <row r="129" spans="1:16" ht="14.25">
      <c r="A129" s="6" t="s">
        <v>209</v>
      </c>
      <c r="B129" s="5"/>
      <c r="C129" s="12" t="s">
        <v>143</v>
      </c>
      <c r="D129" s="12" t="s">
        <v>190</v>
      </c>
      <c r="E129" s="12" t="s">
        <v>155</v>
      </c>
      <c r="F129" s="13" t="s">
        <v>154</v>
      </c>
      <c r="G129" s="156" t="s">
        <v>212</v>
      </c>
      <c r="H129" s="78">
        <f>'проект бюджета 2013'!H277</f>
        <v>77.347</v>
      </c>
      <c r="I129" s="78">
        <f>'проект бюджета 2013'!I277</f>
        <v>50</v>
      </c>
      <c r="J129" s="56">
        <f t="shared" si="16"/>
        <v>-27.346999999999994</v>
      </c>
      <c r="K129" s="78">
        <f>'проект бюджета 2013'!K277</f>
        <v>50</v>
      </c>
      <c r="L129" s="78">
        <f>'проект бюджета 2013'!M118+'проект бюджета 2013'!M277</f>
        <v>350.155</v>
      </c>
      <c r="M129" s="216">
        <f>'проект бюджета 2013'!N118+'проект бюджета 2013'!N277</f>
        <v>0</v>
      </c>
      <c r="N129" s="216">
        <f>'проект бюджета 2013'!O118+'проект бюджета 2013'!O277</f>
        <v>0</v>
      </c>
      <c r="O129" s="262"/>
      <c r="P129" s="146"/>
    </row>
    <row r="130" spans="1:16" ht="14.25">
      <c r="A130" s="6" t="s">
        <v>207</v>
      </c>
      <c r="B130" s="6"/>
      <c r="C130" s="64" t="s">
        <v>143</v>
      </c>
      <c r="D130" s="64" t="s">
        <v>206</v>
      </c>
      <c r="E130" s="64"/>
      <c r="F130" s="65"/>
      <c r="G130" s="13"/>
      <c r="H130" s="62" t="e">
        <f>H145+H134+H131+#REF!</f>
        <v>#REF!</v>
      </c>
      <c r="I130" s="62" t="e">
        <f>I145+I134+I131+#REF!</f>
        <v>#REF!</v>
      </c>
      <c r="J130" s="56" t="e">
        <f t="shared" si="16"/>
        <v>#REF!</v>
      </c>
      <c r="K130" s="62" t="e">
        <f>K145+K134+K131+#REF!</f>
        <v>#REF!</v>
      </c>
      <c r="L130" s="62" t="e">
        <f>L145+L134+L131+#REF!+L149+#REF!</f>
        <v>#REF!</v>
      </c>
      <c r="M130" s="214">
        <f>M145+M134+M131+M149+M139</f>
        <v>15455.920999999998</v>
      </c>
      <c r="N130" s="214">
        <f>N145+N134+N131+N149+N139</f>
        <v>16155.83152</v>
      </c>
      <c r="O130" s="262">
        <f t="shared" si="14"/>
        <v>104.52842971958773</v>
      </c>
      <c r="P130" s="146"/>
    </row>
    <row r="131" spans="1:16" ht="25.5">
      <c r="A131" s="6" t="s">
        <v>288</v>
      </c>
      <c r="B131" s="6"/>
      <c r="C131" s="64" t="s">
        <v>143</v>
      </c>
      <c r="D131" s="64" t="s">
        <v>206</v>
      </c>
      <c r="E131" s="64" t="s">
        <v>287</v>
      </c>
      <c r="F131" s="59"/>
      <c r="G131" s="28"/>
      <c r="H131" s="62">
        <f>H132</f>
        <v>1022.668</v>
      </c>
      <c r="I131" s="62">
        <f>I132</f>
        <v>3.410605131648481E-13</v>
      </c>
      <c r="J131" s="56">
        <f t="shared" si="16"/>
        <v>-1022.6679999999997</v>
      </c>
      <c r="K131" s="62">
        <f aca="true" t="shared" si="22" ref="K131:O132">K132</f>
        <v>3.410605131648481E-13</v>
      </c>
      <c r="L131" s="62">
        <f t="shared" si="22"/>
        <v>0</v>
      </c>
      <c r="M131" s="214">
        <f t="shared" si="22"/>
        <v>0</v>
      </c>
      <c r="N131" s="214">
        <f t="shared" si="22"/>
        <v>0</v>
      </c>
      <c r="O131" s="262"/>
      <c r="P131" s="146"/>
    </row>
    <row r="132" spans="1:16" ht="14.25">
      <c r="A132" s="6" t="s">
        <v>339</v>
      </c>
      <c r="B132" s="6"/>
      <c r="C132" s="64" t="s">
        <v>143</v>
      </c>
      <c r="D132" s="64" t="s">
        <v>206</v>
      </c>
      <c r="E132" s="64" t="s">
        <v>287</v>
      </c>
      <c r="F132" s="59" t="s">
        <v>20</v>
      </c>
      <c r="G132" s="28"/>
      <c r="H132" s="62">
        <f>H133</f>
        <v>1022.668</v>
      </c>
      <c r="I132" s="62">
        <f>I133</f>
        <v>3.410605131648481E-13</v>
      </c>
      <c r="J132" s="56">
        <f t="shared" si="16"/>
        <v>-1022.6679999999997</v>
      </c>
      <c r="K132" s="62">
        <f t="shared" si="22"/>
        <v>3.410605131648481E-13</v>
      </c>
      <c r="L132" s="62">
        <f t="shared" si="22"/>
        <v>0</v>
      </c>
      <c r="M132" s="214">
        <f t="shared" si="22"/>
        <v>0</v>
      </c>
      <c r="N132" s="214">
        <f t="shared" si="22"/>
        <v>0</v>
      </c>
      <c r="O132" s="262"/>
      <c r="P132" s="146"/>
    </row>
    <row r="133" spans="1:16" ht="14.25">
      <c r="A133" s="6" t="s">
        <v>209</v>
      </c>
      <c r="B133" s="5"/>
      <c r="C133" s="64" t="s">
        <v>143</v>
      </c>
      <c r="D133" s="64" t="s">
        <v>206</v>
      </c>
      <c r="E133" s="64" t="s">
        <v>287</v>
      </c>
      <c r="F133" s="59" t="s">
        <v>20</v>
      </c>
      <c r="G133" s="160">
        <v>3</v>
      </c>
      <c r="H133" s="62">
        <f>'проект бюджета 2013'!H133</f>
        <v>1022.668</v>
      </c>
      <c r="I133" s="62">
        <f>'проект бюджета 2013'!I133</f>
        <v>3.410605131648481E-13</v>
      </c>
      <c r="J133" s="56">
        <f t="shared" si="16"/>
        <v>-1022.6679999999997</v>
      </c>
      <c r="K133" s="62">
        <f>'проект бюджета 2013'!K133</f>
        <v>3.410605131648481E-13</v>
      </c>
      <c r="L133" s="62">
        <f>'проект бюджета 2013'!M133</f>
        <v>0</v>
      </c>
      <c r="M133" s="214">
        <f>'проект бюджета 2013'!N133</f>
        <v>0</v>
      </c>
      <c r="N133" s="214">
        <f>'проект бюджета 2013'!O133</f>
        <v>0</v>
      </c>
      <c r="O133" s="262"/>
      <c r="P133" s="146"/>
    </row>
    <row r="134" spans="1:16" ht="25.5">
      <c r="A134" s="6" t="s">
        <v>289</v>
      </c>
      <c r="B134" s="6"/>
      <c r="C134" s="12" t="s">
        <v>143</v>
      </c>
      <c r="D134" s="12" t="s">
        <v>206</v>
      </c>
      <c r="E134" s="12" t="s">
        <v>197</v>
      </c>
      <c r="F134" s="13"/>
      <c r="G134" s="13"/>
      <c r="H134" s="62" t="e">
        <f>H135</f>
        <v>#REF!</v>
      </c>
      <c r="I134" s="62" t="e">
        <f>I135</f>
        <v>#REF!</v>
      </c>
      <c r="J134" s="56" t="e">
        <f t="shared" si="16"/>
        <v>#REF!</v>
      </c>
      <c r="K134" s="62">
        <f>K135</f>
        <v>150</v>
      </c>
      <c r="L134" s="62">
        <f>L135</f>
        <v>0</v>
      </c>
      <c r="M134" s="214">
        <f>M135</f>
        <v>1477.819</v>
      </c>
      <c r="N134" s="214">
        <f>N135</f>
        <v>1477.81851</v>
      </c>
      <c r="O134" s="262">
        <f t="shared" si="14"/>
        <v>99.99996684303018</v>
      </c>
      <c r="P134" s="146"/>
    </row>
    <row r="135" spans="1:16" ht="14.25">
      <c r="A135" s="6" t="s">
        <v>339</v>
      </c>
      <c r="B135" s="6"/>
      <c r="C135" s="12" t="s">
        <v>143</v>
      </c>
      <c r="D135" s="12" t="s">
        <v>206</v>
      </c>
      <c r="E135" s="12" t="s">
        <v>197</v>
      </c>
      <c r="F135" s="13" t="s">
        <v>20</v>
      </c>
      <c r="G135" s="13"/>
      <c r="H135" s="62" t="e">
        <f>H136+H137+H138</f>
        <v>#REF!</v>
      </c>
      <c r="I135" s="62" t="e">
        <f>I136+I137+I138</f>
        <v>#REF!</v>
      </c>
      <c r="J135" s="56" t="e">
        <f t="shared" si="16"/>
        <v>#REF!</v>
      </c>
      <c r="K135" s="62">
        <f>K136+K137+K138</f>
        <v>150</v>
      </c>
      <c r="L135" s="62">
        <f>L136+L137+L138</f>
        <v>0</v>
      </c>
      <c r="M135" s="214">
        <f>M136+M137+M138</f>
        <v>1477.819</v>
      </c>
      <c r="N135" s="214">
        <f>N136+N137+N138</f>
        <v>1477.81851</v>
      </c>
      <c r="O135" s="262">
        <f t="shared" si="14"/>
        <v>99.99996684303018</v>
      </c>
      <c r="P135" s="146"/>
    </row>
    <row r="136" spans="1:16" ht="14.25">
      <c r="A136" s="6" t="s">
        <v>210</v>
      </c>
      <c r="B136" s="6"/>
      <c r="C136" s="12" t="s">
        <v>143</v>
      </c>
      <c r="D136" s="12" t="s">
        <v>206</v>
      </c>
      <c r="E136" s="12" t="s">
        <v>197</v>
      </c>
      <c r="F136" s="13" t="s">
        <v>20</v>
      </c>
      <c r="G136" s="166" t="s">
        <v>213</v>
      </c>
      <c r="H136" s="62"/>
      <c r="I136" s="62"/>
      <c r="J136" s="56">
        <f t="shared" si="16"/>
        <v>0</v>
      </c>
      <c r="K136" s="62"/>
      <c r="L136" s="62">
        <f>'проект бюджета 2013'!M122</f>
        <v>0</v>
      </c>
      <c r="M136" s="214">
        <f>'проект бюджета 2013'!N122</f>
        <v>0</v>
      </c>
      <c r="N136" s="214">
        <f>'проект бюджета 2013'!O122</f>
        <v>0</v>
      </c>
      <c r="O136" s="262"/>
      <c r="P136" s="146"/>
    </row>
    <row r="137" spans="1:16" ht="14.25">
      <c r="A137" s="6" t="s">
        <v>211</v>
      </c>
      <c r="B137" s="6"/>
      <c r="C137" s="12" t="s">
        <v>143</v>
      </c>
      <c r="D137" s="12" t="s">
        <v>206</v>
      </c>
      <c r="E137" s="12" t="s">
        <v>197</v>
      </c>
      <c r="F137" s="13" t="s">
        <v>20</v>
      </c>
      <c r="G137" s="166" t="s">
        <v>214</v>
      </c>
      <c r="H137" s="62"/>
      <c r="I137" s="62"/>
      <c r="J137" s="56">
        <f t="shared" si="16"/>
        <v>0</v>
      </c>
      <c r="K137" s="62"/>
      <c r="L137" s="62">
        <f>'проект бюджета 2013'!M123</f>
        <v>0</v>
      </c>
      <c r="M137" s="214">
        <f>'проект бюджета 2013'!N123</f>
        <v>0</v>
      </c>
      <c r="N137" s="214">
        <f>'проект бюджета 2013'!O123</f>
        <v>0</v>
      </c>
      <c r="O137" s="262"/>
      <c r="P137" s="146"/>
    </row>
    <row r="138" spans="1:16" ht="14.25">
      <c r="A138" s="6" t="s">
        <v>209</v>
      </c>
      <c r="B138" s="6"/>
      <c r="C138" s="12" t="s">
        <v>143</v>
      </c>
      <c r="D138" s="12" t="s">
        <v>206</v>
      </c>
      <c r="E138" s="12" t="s">
        <v>197</v>
      </c>
      <c r="F138" s="13" t="s">
        <v>20</v>
      </c>
      <c r="G138" s="156" t="s">
        <v>212</v>
      </c>
      <c r="H138" s="78" t="e">
        <f>'проект бюджета 2013'!#REF!</f>
        <v>#REF!</v>
      </c>
      <c r="I138" s="78" t="e">
        <f>'проект бюджета 2013'!#REF!</f>
        <v>#REF!</v>
      </c>
      <c r="J138" s="56" t="e">
        <f t="shared" si="16"/>
        <v>#REF!</v>
      </c>
      <c r="K138" s="78">
        <f>'проект бюджета 2013'!K124</f>
        <v>150</v>
      </c>
      <c r="L138" s="62">
        <f>'проект бюджета 2013'!M124</f>
        <v>0</v>
      </c>
      <c r="M138" s="214">
        <f>'проект бюджета 2013'!N124</f>
        <v>1477.819</v>
      </c>
      <c r="N138" s="214">
        <f>'проект бюджета 2013'!O124</f>
        <v>1477.81851</v>
      </c>
      <c r="O138" s="262">
        <f t="shared" si="14"/>
        <v>99.99996684303018</v>
      </c>
      <c r="P138" s="146"/>
    </row>
    <row r="139" spans="1:16" ht="25.5">
      <c r="A139" s="6" t="s">
        <v>433</v>
      </c>
      <c r="B139" s="6"/>
      <c r="C139" s="12" t="s">
        <v>143</v>
      </c>
      <c r="D139" s="12" t="s">
        <v>206</v>
      </c>
      <c r="E139" s="37" t="s">
        <v>434</v>
      </c>
      <c r="F139" s="13"/>
      <c r="G139" s="13"/>
      <c r="H139" s="62" t="e">
        <f>H140</f>
        <v>#REF!</v>
      </c>
      <c r="I139" s="62" t="e">
        <f>I140</f>
        <v>#REF!</v>
      </c>
      <c r="J139" s="56" t="e">
        <f>I139-H139</f>
        <v>#REF!</v>
      </c>
      <c r="K139" s="62">
        <f>K140</f>
        <v>150</v>
      </c>
      <c r="L139" s="62">
        <f>L140</f>
        <v>0</v>
      </c>
      <c r="M139" s="214">
        <f>M140</f>
        <v>13726.699999999999</v>
      </c>
      <c r="N139" s="214">
        <f>N140</f>
        <v>14426.611499999999</v>
      </c>
      <c r="O139" s="262">
        <f t="shared" si="14"/>
        <v>105.09890578216176</v>
      </c>
      <c r="P139" s="146"/>
    </row>
    <row r="140" spans="1:16" ht="14.25">
      <c r="A140" s="6" t="s">
        <v>339</v>
      </c>
      <c r="B140" s="6"/>
      <c r="C140" s="12" t="s">
        <v>143</v>
      </c>
      <c r="D140" s="12" t="s">
        <v>206</v>
      </c>
      <c r="E140" s="37" t="s">
        <v>434</v>
      </c>
      <c r="F140" s="13" t="s">
        <v>20</v>
      </c>
      <c r="G140" s="13"/>
      <c r="H140" s="62" t="e">
        <f>H141+H142+H143</f>
        <v>#REF!</v>
      </c>
      <c r="I140" s="62" t="e">
        <f>I141+I142+I143</f>
        <v>#REF!</v>
      </c>
      <c r="J140" s="56" t="e">
        <f>I140-H140</f>
        <v>#REF!</v>
      </c>
      <c r="K140" s="62">
        <f>K141+K142+K143</f>
        <v>150</v>
      </c>
      <c r="L140" s="62">
        <f>L141+L142+L143</f>
        <v>0</v>
      </c>
      <c r="M140" s="214">
        <f>M141+M142+M143+M144</f>
        <v>13726.699999999999</v>
      </c>
      <c r="N140" s="214">
        <f>N141+N142+N143+N144</f>
        <v>14426.611499999999</v>
      </c>
      <c r="O140" s="262">
        <f t="shared" si="14"/>
        <v>105.09890578216176</v>
      </c>
      <c r="P140" s="146"/>
    </row>
    <row r="141" spans="1:16" ht="14.25">
      <c r="A141" s="6" t="s">
        <v>210</v>
      </c>
      <c r="B141" s="6"/>
      <c r="C141" s="12" t="s">
        <v>143</v>
      </c>
      <c r="D141" s="12" t="s">
        <v>206</v>
      </c>
      <c r="E141" s="37" t="s">
        <v>434</v>
      </c>
      <c r="F141" s="13" t="s">
        <v>20</v>
      </c>
      <c r="G141" s="166" t="s">
        <v>213</v>
      </c>
      <c r="H141" s="62"/>
      <c r="I141" s="62"/>
      <c r="J141" s="56">
        <f>I141-H141</f>
        <v>0</v>
      </c>
      <c r="K141" s="62"/>
      <c r="L141" s="62">
        <f>'проект бюджета 2013'!M127</f>
        <v>0</v>
      </c>
      <c r="M141" s="214">
        <f>'проект бюджета 2013'!N127</f>
        <v>3718.7</v>
      </c>
      <c r="N141" s="214">
        <f>'проект бюджета 2013'!O127</f>
        <v>3718.7</v>
      </c>
      <c r="O141" s="262">
        <f t="shared" si="14"/>
        <v>100</v>
      </c>
      <c r="P141" s="146"/>
    </row>
    <row r="142" spans="1:16" ht="14.25">
      <c r="A142" s="6" t="s">
        <v>211</v>
      </c>
      <c r="B142" s="6"/>
      <c r="C142" s="12" t="s">
        <v>143</v>
      </c>
      <c r="D142" s="12" t="s">
        <v>206</v>
      </c>
      <c r="E142" s="37" t="s">
        <v>434</v>
      </c>
      <c r="F142" s="13" t="s">
        <v>20</v>
      </c>
      <c r="G142" s="166" t="s">
        <v>214</v>
      </c>
      <c r="H142" s="62"/>
      <c r="I142" s="62"/>
      <c r="J142" s="56">
        <f>I142-H142</f>
        <v>0</v>
      </c>
      <c r="K142" s="62"/>
      <c r="L142" s="62">
        <f>'проект бюджета 2013'!M128</f>
        <v>0</v>
      </c>
      <c r="M142" s="214">
        <f>'проект бюджета 2013'!N128</f>
        <v>8018.799999999999</v>
      </c>
      <c r="N142" s="214">
        <f>'проект бюджета 2013'!O128</f>
        <v>8018.799999999999</v>
      </c>
      <c r="O142" s="262">
        <f t="shared" si="14"/>
        <v>100</v>
      </c>
      <c r="P142" s="146"/>
    </row>
    <row r="143" spans="1:16" ht="14.25">
      <c r="A143" s="6" t="s">
        <v>209</v>
      </c>
      <c r="B143" s="6"/>
      <c r="C143" s="12" t="s">
        <v>143</v>
      </c>
      <c r="D143" s="12" t="s">
        <v>206</v>
      </c>
      <c r="E143" s="37" t="s">
        <v>434</v>
      </c>
      <c r="F143" s="13" t="s">
        <v>20</v>
      </c>
      <c r="G143" s="156" t="s">
        <v>212</v>
      </c>
      <c r="H143" s="78" t="e">
        <f>'проект бюджета 2013'!#REF!</f>
        <v>#REF!</v>
      </c>
      <c r="I143" s="78" t="e">
        <f>'проект бюджета 2013'!#REF!</f>
        <v>#REF!</v>
      </c>
      <c r="J143" s="56" t="e">
        <f>I143-H143</f>
        <v>#REF!</v>
      </c>
      <c r="K143" s="78">
        <f>'проект бюджета 2013'!K129</f>
        <v>150</v>
      </c>
      <c r="L143" s="62">
        <f>'проект бюджета 2013'!M129</f>
        <v>0</v>
      </c>
      <c r="M143" s="214">
        <f>'проект бюджета 2013'!N129</f>
        <v>269.80000000000007</v>
      </c>
      <c r="N143" s="214">
        <f>'проект бюджета 2013'!O129</f>
        <v>269.7115</v>
      </c>
      <c r="O143" s="262">
        <f t="shared" si="14"/>
        <v>99.9671979243884</v>
      </c>
      <c r="P143" s="146"/>
    </row>
    <row r="144" spans="1:16" ht="14.25">
      <c r="A144" s="200" t="s">
        <v>361</v>
      </c>
      <c r="B144" s="6"/>
      <c r="C144" s="12" t="s">
        <v>143</v>
      </c>
      <c r="D144" s="12" t="s">
        <v>206</v>
      </c>
      <c r="E144" s="37" t="s">
        <v>434</v>
      </c>
      <c r="F144" s="13" t="s">
        <v>20</v>
      </c>
      <c r="G144" s="187">
        <v>4</v>
      </c>
      <c r="H144" s="78"/>
      <c r="I144" s="78"/>
      <c r="J144" s="56"/>
      <c r="K144" s="78"/>
      <c r="L144" s="62"/>
      <c r="M144" s="214">
        <f>'проект бюджета 2013'!N130</f>
        <v>1719.4</v>
      </c>
      <c r="N144" s="214">
        <f>'проект бюджета 2013'!O130</f>
        <v>2419.4</v>
      </c>
      <c r="O144" s="262">
        <f t="shared" si="14"/>
        <v>140.71187623589626</v>
      </c>
      <c r="P144" s="146"/>
    </row>
    <row r="145" spans="1:16" ht="25.5">
      <c r="A145" s="6" t="s">
        <v>219</v>
      </c>
      <c r="B145" s="6"/>
      <c r="C145" s="64" t="s">
        <v>143</v>
      </c>
      <c r="D145" s="64" t="s">
        <v>206</v>
      </c>
      <c r="E145" s="64" t="s">
        <v>217</v>
      </c>
      <c r="F145" s="65"/>
      <c r="G145" s="13"/>
      <c r="H145" s="62">
        <f aca="true" t="shared" si="23" ref="H145:O147">H146</f>
        <v>500</v>
      </c>
      <c r="I145" s="62">
        <f t="shared" si="23"/>
        <v>343.8</v>
      </c>
      <c r="J145" s="56">
        <f t="shared" si="16"/>
        <v>-156.2</v>
      </c>
      <c r="K145" s="62">
        <f t="shared" si="23"/>
        <v>343.8</v>
      </c>
      <c r="L145" s="62">
        <f t="shared" si="23"/>
        <v>150</v>
      </c>
      <c r="M145" s="214">
        <f t="shared" si="23"/>
        <v>79.33600000000001</v>
      </c>
      <c r="N145" s="214">
        <f t="shared" si="23"/>
        <v>79.33600000000001</v>
      </c>
      <c r="O145" s="262">
        <f aca="true" t="shared" si="24" ref="O145:O208">N145/M145*100</f>
        <v>100</v>
      </c>
      <c r="P145" s="146"/>
    </row>
    <row r="146" spans="1:16" ht="14.25">
      <c r="A146" s="6" t="s">
        <v>220</v>
      </c>
      <c r="B146" s="6"/>
      <c r="C146" s="64" t="s">
        <v>143</v>
      </c>
      <c r="D146" s="64" t="s">
        <v>206</v>
      </c>
      <c r="E146" s="64" t="s">
        <v>218</v>
      </c>
      <c r="F146" s="65"/>
      <c r="G146" s="13"/>
      <c r="H146" s="62">
        <f t="shared" si="23"/>
        <v>500</v>
      </c>
      <c r="I146" s="62">
        <f t="shared" si="23"/>
        <v>343.8</v>
      </c>
      <c r="J146" s="56">
        <f t="shared" si="16"/>
        <v>-156.2</v>
      </c>
      <c r="K146" s="62">
        <f t="shared" si="23"/>
        <v>343.8</v>
      </c>
      <c r="L146" s="62">
        <f t="shared" si="23"/>
        <v>150</v>
      </c>
      <c r="M146" s="214">
        <f t="shared" si="23"/>
        <v>79.33600000000001</v>
      </c>
      <c r="N146" s="214">
        <f t="shared" si="23"/>
        <v>79.33600000000001</v>
      </c>
      <c r="O146" s="262">
        <f t="shared" si="24"/>
        <v>100</v>
      </c>
      <c r="P146" s="146"/>
    </row>
    <row r="147" spans="1:16" ht="25.5">
      <c r="A147" s="6" t="s">
        <v>97</v>
      </c>
      <c r="B147" s="6"/>
      <c r="C147" s="64" t="s">
        <v>143</v>
      </c>
      <c r="D147" s="64" t="s">
        <v>206</v>
      </c>
      <c r="E147" s="64" t="s">
        <v>218</v>
      </c>
      <c r="F147" s="115" t="s">
        <v>323</v>
      </c>
      <c r="G147" s="16"/>
      <c r="H147" s="62">
        <f t="shared" si="23"/>
        <v>500</v>
      </c>
      <c r="I147" s="62">
        <f t="shared" si="23"/>
        <v>343.8</v>
      </c>
      <c r="J147" s="56">
        <f t="shared" si="16"/>
        <v>-156.2</v>
      </c>
      <c r="K147" s="62">
        <f t="shared" si="23"/>
        <v>343.8</v>
      </c>
      <c r="L147" s="62">
        <f t="shared" si="23"/>
        <v>150</v>
      </c>
      <c r="M147" s="214">
        <f t="shared" si="23"/>
        <v>79.33600000000001</v>
      </c>
      <c r="N147" s="214">
        <f t="shared" si="23"/>
        <v>79.33600000000001</v>
      </c>
      <c r="O147" s="262">
        <f t="shared" si="24"/>
        <v>100</v>
      </c>
      <c r="P147" s="146"/>
    </row>
    <row r="148" spans="1:16" ht="14.25">
      <c r="A148" s="6" t="s">
        <v>209</v>
      </c>
      <c r="B148" s="5"/>
      <c r="C148" s="64" t="s">
        <v>143</v>
      </c>
      <c r="D148" s="64" t="s">
        <v>206</v>
      </c>
      <c r="E148" s="64" t="s">
        <v>218</v>
      </c>
      <c r="F148" s="115" t="s">
        <v>323</v>
      </c>
      <c r="G148" s="161" t="s">
        <v>212</v>
      </c>
      <c r="H148" s="78">
        <f>'проект бюджета 2013'!H137</f>
        <v>500</v>
      </c>
      <c r="I148" s="78">
        <f>'проект бюджета 2013'!I137</f>
        <v>343.8</v>
      </c>
      <c r="J148" s="56">
        <f t="shared" si="16"/>
        <v>-156.2</v>
      </c>
      <c r="K148" s="78">
        <f>'проект бюджета 2013'!K137</f>
        <v>343.8</v>
      </c>
      <c r="L148" s="78">
        <f>'проект бюджета 2013'!M137</f>
        <v>150</v>
      </c>
      <c r="M148" s="216">
        <f>'проект бюджета 2013'!N137</f>
        <v>79.33600000000001</v>
      </c>
      <c r="N148" s="216">
        <f>'проект бюджета 2013'!O137</f>
        <v>79.33600000000001</v>
      </c>
      <c r="O148" s="262">
        <f t="shared" si="24"/>
        <v>100</v>
      </c>
      <c r="P148" s="146"/>
    </row>
    <row r="149" spans="1:16" ht="15" customHeight="1">
      <c r="A149" s="6" t="s">
        <v>221</v>
      </c>
      <c r="B149" s="5"/>
      <c r="C149" s="13" t="s">
        <v>143</v>
      </c>
      <c r="D149" s="13" t="s">
        <v>206</v>
      </c>
      <c r="E149" s="12" t="s">
        <v>156</v>
      </c>
      <c r="F149" s="16"/>
      <c r="G149" s="34"/>
      <c r="H149" s="62"/>
      <c r="I149" s="62"/>
      <c r="J149" s="56">
        <f t="shared" si="16"/>
        <v>0</v>
      </c>
      <c r="K149" s="62"/>
      <c r="L149" s="62">
        <f>L150</f>
        <v>50</v>
      </c>
      <c r="M149" s="214">
        <f aca="true" t="shared" si="25" ref="M149:O151">M150</f>
        <v>172.066</v>
      </c>
      <c r="N149" s="214">
        <f t="shared" si="25"/>
        <v>172.06551</v>
      </c>
      <c r="O149" s="262">
        <f t="shared" si="24"/>
        <v>99.99971522555298</v>
      </c>
      <c r="P149" s="146"/>
    </row>
    <row r="150" spans="1:16" ht="39" customHeight="1">
      <c r="A150" s="105" t="s">
        <v>360</v>
      </c>
      <c r="B150" s="6"/>
      <c r="C150" s="13" t="s">
        <v>143</v>
      </c>
      <c r="D150" s="13" t="s">
        <v>206</v>
      </c>
      <c r="E150" s="37" t="s">
        <v>359</v>
      </c>
      <c r="F150" s="15"/>
      <c r="G150" s="34"/>
      <c r="H150" s="62"/>
      <c r="I150" s="62"/>
      <c r="J150" s="56">
        <f t="shared" si="16"/>
        <v>0</v>
      </c>
      <c r="K150" s="62"/>
      <c r="L150" s="62">
        <f>L151</f>
        <v>50</v>
      </c>
      <c r="M150" s="214">
        <f t="shared" si="25"/>
        <v>172.066</v>
      </c>
      <c r="N150" s="214">
        <f t="shared" si="25"/>
        <v>172.06551</v>
      </c>
      <c r="O150" s="262">
        <f t="shared" si="24"/>
        <v>99.99971522555298</v>
      </c>
      <c r="P150" s="146"/>
    </row>
    <row r="151" spans="1:16" ht="15" customHeight="1">
      <c r="A151" s="6" t="s">
        <v>339</v>
      </c>
      <c r="B151" s="6"/>
      <c r="C151" s="13" t="s">
        <v>143</v>
      </c>
      <c r="D151" s="13" t="s">
        <v>206</v>
      </c>
      <c r="E151" s="37" t="s">
        <v>359</v>
      </c>
      <c r="F151" s="110" t="s">
        <v>20</v>
      </c>
      <c r="G151" s="34"/>
      <c r="H151" s="62"/>
      <c r="I151" s="62"/>
      <c r="J151" s="56">
        <f t="shared" si="16"/>
        <v>0</v>
      </c>
      <c r="K151" s="62"/>
      <c r="L151" s="62">
        <f>L152</f>
        <v>50</v>
      </c>
      <c r="M151" s="214">
        <f t="shared" si="25"/>
        <v>172.066</v>
      </c>
      <c r="N151" s="214">
        <f t="shared" si="25"/>
        <v>172.06551</v>
      </c>
      <c r="O151" s="262">
        <f t="shared" si="24"/>
        <v>99.99971522555298</v>
      </c>
      <c r="P151" s="146"/>
    </row>
    <row r="152" spans="1:16" ht="15" customHeight="1">
      <c r="A152" s="6" t="s">
        <v>209</v>
      </c>
      <c r="B152" s="6"/>
      <c r="C152" s="13" t="s">
        <v>143</v>
      </c>
      <c r="D152" s="13" t="s">
        <v>206</v>
      </c>
      <c r="E152" s="37" t="s">
        <v>359</v>
      </c>
      <c r="F152" s="110" t="s">
        <v>20</v>
      </c>
      <c r="G152" s="157">
        <v>3</v>
      </c>
      <c r="H152" s="62"/>
      <c r="I152" s="62"/>
      <c r="J152" s="56">
        <f t="shared" si="16"/>
        <v>0</v>
      </c>
      <c r="K152" s="62"/>
      <c r="L152" s="62">
        <f>'проект бюджета 2013'!M141</f>
        <v>50</v>
      </c>
      <c r="M152" s="214">
        <f>'проект бюджета 2013'!N141</f>
        <v>172.066</v>
      </c>
      <c r="N152" s="214">
        <f>'проект бюджета 2013'!O141</f>
        <v>172.06551</v>
      </c>
      <c r="O152" s="262">
        <f t="shared" si="24"/>
        <v>99.99971522555298</v>
      </c>
      <c r="P152" s="146"/>
    </row>
    <row r="153" spans="1:16" s="24" customFormat="1" ht="14.25">
      <c r="A153" s="50" t="s">
        <v>48</v>
      </c>
      <c r="B153" s="50"/>
      <c r="C153" s="45" t="s">
        <v>144</v>
      </c>
      <c r="D153" s="45"/>
      <c r="E153" s="45"/>
      <c r="F153" s="45"/>
      <c r="G153" s="45"/>
      <c r="H153" s="62">
        <f aca="true" t="shared" si="26" ref="H153:O156">H154</f>
        <v>500</v>
      </c>
      <c r="I153" s="62">
        <f t="shared" si="26"/>
        <v>50</v>
      </c>
      <c r="J153" s="56">
        <f aca="true" t="shared" si="27" ref="J153:J166">I153-H153</f>
        <v>-450</v>
      </c>
      <c r="K153" s="62">
        <f t="shared" si="26"/>
        <v>50</v>
      </c>
      <c r="L153" s="106">
        <f t="shared" si="26"/>
        <v>500</v>
      </c>
      <c r="M153" s="227">
        <f t="shared" si="26"/>
        <v>441.438</v>
      </c>
      <c r="N153" s="227">
        <f t="shared" si="26"/>
        <v>441.438</v>
      </c>
      <c r="O153" s="262">
        <f t="shared" si="24"/>
        <v>100</v>
      </c>
      <c r="P153" s="146"/>
    </row>
    <row r="154" spans="1:16" ht="25.5">
      <c r="A154" s="105" t="s">
        <v>304</v>
      </c>
      <c r="B154" s="5"/>
      <c r="C154" s="12" t="s">
        <v>144</v>
      </c>
      <c r="D154" s="37" t="s">
        <v>305</v>
      </c>
      <c r="E154" s="12"/>
      <c r="F154" s="12"/>
      <c r="G154" s="12"/>
      <c r="H154" s="62">
        <f t="shared" si="26"/>
        <v>500</v>
      </c>
      <c r="I154" s="62">
        <f t="shared" si="26"/>
        <v>50</v>
      </c>
      <c r="J154" s="56">
        <f t="shared" si="27"/>
        <v>-450</v>
      </c>
      <c r="K154" s="62">
        <f t="shared" si="26"/>
        <v>50</v>
      </c>
      <c r="L154" s="62">
        <f t="shared" si="26"/>
        <v>500</v>
      </c>
      <c r="M154" s="214">
        <f t="shared" si="26"/>
        <v>441.438</v>
      </c>
      <c r="N154" s="214">
        <f t="shared" si="26"/>
        <v>441.438</v>
      </c>
      <c r="O154" s="262">
        <f t="shared" si="24"/>
        <v>100</v>
      </c>
      <c r="P154" s="146"/>
    </row>
    <row r="155" spans="1:16" ht="14.25">
      <c r="A155" s="6" t="s">
        <v>221</v>
      </c>
      <c r="B155" s="5"/>
      <c r="C155" s="12" t="s">
        <v>144</v>
      </c>
      <c r="D155" s="37" t="s">
        <v>305</v>
      </c>
      <c r="E155" s="12" t="s">
        <v>156</v>
      </c>
      <c r="F155" s="12"/>
      <c r="G155" s="12"/>
      <c r="H155" s="62">
        <f t="shared" si="26"/>
        <v>500</v>
      </c>
      <c r="I155" s="62">
        <f t="shared" si="26"/>
        <v>50</v>
      </c>
      <c r="J155" s="56">
        <f t="shared" si="27"/>
        <v>-450</v>
      </c>
      <c r="K155" s="62">
        <f t="shared" si="26"/>
        <v>50</v>
      </c>
      <c r="L155" s="62">
        <f t="shared" si="26"/>
        <v>500</v>
      </c>
      <c r="M155" s="214">
        <f t="shared" si="26"/>
        <v>441.438</v>
      </c>
      <c r="N155" s="214">
        <f t="shared" si="26"/>
        <v>441.438</v>
      </c>
      <c r="O155" s="262">
        <f t="shared" si="24"/>
        <v>100</v>
      </c>
      <c r="P155" s="146"/>
    </row>
    <row r="156" spans="1:16" ht="38.25">
      <c r="A156" s="6" t="s">
        <v>306</v>
      </c>
      <c r="B156" s="6"/>
      <c r="C156" s="12" t="s">
        <v>144</v>
      </c>
      <c r="D156" s="37" t="s">
        <v>305</v>
      </c>
      <c r="E156" s="39">
        <v>7950011</v>
      </c>
      <c r="F156" s="13"/>
      <c r="G156" s="13"/>
      <c r="H156" s="62">
        <f t="shared" si="26"/>
        <v>500</v>
      </c>
      <c r="I156" s="62">
        <f t="shared" si="26"/>
        <v>50</v>
      </c>
      <c r="J156" s="56">
        <f t="shared" si="27"/>
        <v>-450</v>
      </c>
      <c r="K156" s="62">
        <f t="shared" si="26"/>
        <v>50</v>
      </c>
      <c r="L156" s="62">
        <f t="shared" si="26"/>
        <v>500</v>
      </c>
      <c r="M156" s="214">
        <f t="shared" si="26"/>
        <v>441.438</v>
      </c>
      <c r="N156" s="214">
        <f t="shared" si="26"/>
        <v>441.438</v>
      </c>
      <c r="O156" s="262">
        <f t="shared" si="24"/>
        <v>100</v>
      </c>
      <c r="P156" s="146"/>
    </row>
    <row r="157" spans="1:16" ht="14.25">
      <c r="A157" s="6" t="s">
        <v>25</v>
      </c>
      <c r="B157" s="6"/>
      <c r="C157" s="12" t="s">
        <v>144</v>
      </c>
      <c r="D157" s="37" t="s">
        <v>305</v>
      </c>
      <c r="E157" s="39">
        <v>7950011</v>
      </c>
      <c r="F157" s="13" t="s">
        <v>323</v>
      </c>
      <c r="G157" s="13"/>
      <c r="H157" s="62">
        <f>H158</f>
        <v>500</v>
      </c>
      <c r="I157" s="62">
        <f>I158</f>
        <v>50</v>
      </c>
      <c r="J157" s="56">
        <f t="shared" si="27"/>
        <v>-450</v>
      </c>
      <c r="K157" s="62">
        <f>K158</f>
        <v>50</v>
      </c>
      <c r="L157" s="62">
        <f>L158</f>
        <v>500</v>
      </c>
      <c r="M157" s="214">
        <f>M158</f>
        <v>441.438</v>
      </c>
      <c r="N157" s="214">
        <f>N158</f>
        <v>441.438</v>
      </c>
      <c r="O157" s="262">
        <f t="shared" si="24"/>
        <v>100</v>
      </c>
      <c r="P157" s="146"/>
    </row>
    <row r="158" spans="1:16" ht="14.25">
      <c r="A158" s="6" t="s">
        <v>209</v>
      </c>
      <c r="B158" s="3"/>
      <c r="C158" s="12" t="s">
        <v>144</v>
      </c>
      <c r="D158" s="37" t="s">
        <v>305</v>
      </c>
      <c r="E158" s="39">
        <v>7950011</v>
      </c>
      <c r="F158" s="13" t="s">
        <v>323</v>
      </c>
      <c r="G158" s="156" t="s">
        <v>212</v>
      </c>
      <c r="H158" s="78">
        <f>'проект бюджета 2013'!H147</f>
        <v>500</v>
      </c>
      <c r="I158" s="78">
        <f>'проект бюджета 2013'!I147</f>
        <v>50</v>
      </c>
      <c r="J158" s="56">
        <f t="shared" si="27"/>
        <v>-450</v>
      </c>
      <c r="K158" s="78">
        <f>'проект бюджета 2013'!K147</f>
        <v>50</v>
      </c>
      <c r="L158" s="78">
        <f>'проект бюджета 2013'!M147</f>
        <v>500</v>
      </c>
      <c r="M158" s="216">
        <f>'проект бюджета 2013'!N147</f>
        <v>441.438</v>
      </c>
      <c r="N158" s="216">
        <f>'проект бюджета 2013'!O147</f>
        <v>441.438</v>
      </c>
      <c r="O158" s="262">
        <f t="shared" si="24"/>
        <v>100</v>
      </c>
      <c r="P158" s="146"/>
    </row>
    <row r="159" spans="1:16" ht="14.25">
      <c r="A159" s="3" t="s">
        <v>47</v>
      </c>
      <c r="B159" s="3"/>
      <c r="C159" s="10" t="s">
        <v>145</v>
      </c>
      <c r="D159" s="10">
        <v>0</v>
      </c>
      <c r="E159" s="10">
        <v>0</v>
      </c>
      <c r="F159" s="10">
        <v>0</v>
      </c>
      <c r="G159" s="10">
        <v>0</v>
      </c>
      <c r="H159" s="56" t="e">
        <f>H160+H232+H246+H187</f>
        <v>#REF!</v>
      </c>
      <c r="I159" s="56" t="e">
        <f>I160+I232+I246+I187</f>
        <v>#REF!</v>
      </c>
      <c r="J159" s="56" t="e">
        <f t="shared" si="27"/>
        <v>#REF!</v>
      </c>
      <c r="K159" s="56" t="e">
        <f>K160+K232+K246+K187</f>
        <v>#REF!</v>
      </c>
      <c r="L159" s="56" t="e">
        <f>L160+L232+L246+L187</f>
        <v>#REF!</v>
      </c>
      <c r="M159" s="208">
        <f>M160+M232+M246+M187</f>
        <v>209621.26612999997</v>
      </c>
      <c r="N159" s="208">
        <f>N160+N232+N246+N187</f>
        <v>209594.75755</v>
      </c>
      <c r="O159" s="262">
        <f t="shared" si="24"/>
        <v>99.98735405978154</v>
      </c>
      <c r="P159" s="146"/>
    </row>
    <row r="160" spans="1:16" ht="14.25">
      <c r="A160" s="4" t="s">
        <v>112</v>
      </c>
      <c r="B160" s="4"/>
      <c r="C160" s="11" t="s">
        <v>145</v>
      </c>
      <c r="D160" s="11" t="s">
        <v>177</v>
      </c>
      <c r="E160" s="11">
        <v>0</v>
      </c>
      <c r="F160" s="11"/>
      <c r="G160" s="11"/>
      <c r="H160" s="55" t="e">
        <f>H161+H165</f>
        <v>#REF!</v>
      </c>
      <c r="I160" s="55" t="e">
        <f>I161+I165</f>
        <v>#REF!</v>
      </c>
      <c r="J160" s="56" t="e">
        <f t="shared" si="27"/>
        <v>#REF!</v>
      </c>
      <c r="K160" s="55" t="e">
        <f>K161+K165</f>
        <v>#REF!</v>
      </c>
      <c r="L160" s="55">
        <f>L161+L167+L180</f>
        <v>8026.700000000001</v>
      </c>
      <c r="M160" s="207">
        <f>M161+M167+M180+M177+M171+M183</f>
        <v>60055.031</v>
      </c>
      <c r="N160" s="207">
        <f>N161+N167+N180+N177+N171+N183</f>
        <v>60031.528000000006</v>
      </c>
      <c r="O160" s="262">
        <f t="shared" si="24"/>
        <v>99.96086422801115</v>
      </c>
      <c r="P160" s="146"/>
    </row>
    <row r="161" spans="1:16" ht="14.25">
      <c r="A161" s="5" t="s">
        <v>115</v>
      </c>
      <c r="B161" s="5"/>
      <c r="C161" s="11" t="s">
        <v>145</v>
      </c>
      <c r="D161" s="11" t="s">
        <v>177</v>
      </c>
      <c r="E161" s="12" t="s">
        <v>113</v>
      </c>
      <c r="F161" s="12"/>
      <c r="G161" s="12"/>
      <c r="H161" s="55">
        <f>H162</f>
        <v>5776.3</v>
      </c>
      <c r="I161" s="55">
        <f>I162</f>
        <v>8147.5</v>
      </c>
      <c r="J161" s="56">
        <f t="shared" si="27"/>
        <v>2371.2</v>
      </c>
      <c r="K161" s="55">
        <f>K162</f>
        <v>6647.5</v>
      </c>
      <c r="L161" s="55">
        <f>L162</f>
        <v>8026.700000000001</v>
      </c>
      <c r="M161" s="207">
        <f>M162</f>
        <v>8339.831</v>
      </c>
      <c r="N161" s="207">
        <f>N162</f>
        <v>8339.831</v>
      </c>
      <c r="O161" s="262">
        <f t="shared" si="24"/>
        <v>100</v>
      </c>
      <c r="P161" s="146"/>
    </row>
    <row r="162" spans="1:16" ht="25.5">
      <c r="A162" s="105" t="s">
        <v>343</v>
      </c>
      <c r="B162" s="5"/>
      <c r="C162" s="11" t="s">
        <v>145</v>
      </c>
      <c r="D162" s="11" t="s">
        <v>177</v>
      </c>
      <c r="E162" s="12" t="s">
        <v>114</v>
      </c>
      <c r="F162" s="12"/>
      <c r="G162" s="12"/>
      <c r="H162" s="55">
        <f>H163</f>
        <v>5776.3</v>
      </c>
      <c r="I162" s="55">
        <f>I163</f>
        <v>8147.5</v>
      </c>
      <c r="J162" s="56">
        <f t="shared" si="27"/>
        <v>2371.2</v>
      </c>
      <c r="K162" s="55">
        <f>K163</f>
        <v>6647.5</v>
      </c>
      <c r="L162" s="55">
        <f>L163+L165</f>
        <v>8026.700000000001</v>
      </c>
      <c r="M162" s="207">
        <f>M163+M165</f>
        <v>8339.831</v>
      </c>
      <c r="N162" s="207">
        <f>N163+N165</f>
        <v>8339.831</v>
      </c>
      <c r="O162" s="262">
        <f t="shared" si="24"/>
        <v>100</v>
      </c>
      <c r="P162" s="146"/>
    </row>
    <row r="163" spans="1:16" ht="55.5" customHeight="1">
      <c r="A163" s="154" t="s">
        <v>319</v>
      </c>
      <c r="B163" s="6"/>
      <c r="C163" s="11" t="s">
        <v>145</v>
      </c>
      <c r="D163" s="11" t="s">
        <v>177</v>
      </c>
      <c r="E163" s="12" t="s">
        <v>114</v>
      </c>
      <c r="F163" s="13" t="s">
        <v>315</v>
      </c>
      <c r="G163" s="13"/>
      <c r="H163" s="55">
        <f>'проект бюджета 2013'!H312</f>
        <v>5776.3</v>
      </c>
      <c r="I163" s="55">
        <f>'проект бюджета 2013'!I312</f>
        <v>8147.5</v>
      </c>
      <c r="J163" s="56">
        <f t="shared" si="27"/>
        <v>2371.2</v>
      </c>
      <c r="K163" s="55">
        <f>'проект бюджета 2013'!K312</f>
        <v>6647.5</v>
      </c>
      <c r="L163" s="55">
        <f>'проект бюджета 2013'!M312</f>
        <v>7671.700000000001</v>
      </c>
      <c r="M163" s="207">
        <f>'проект бюджета 2013'!N312</f>
        <v>8319.831</v>
      </c>
      <c r="N163" s="207">
        <f>'проект бюджета 2013'!O312</f>
        <v>8319.831</v>
      </c>
      <c r="O163" s="262">
        <f t="shared" si="24"/>
        <v>100</v>
      </c>
      <c r="P163" s="146"/>
    </row>
    <row r="164" spans="1:16" ht="15" customHeight="1">
      <c r="A164" s="6" t="s">
        <v>209</v>
      </c>
      <c r="B164" s="3"/>
      <c r="C164" s="11" t="s">
        <v>145</v>
      </c>
      <c r="D164" s="11" t="s">
        <v>177</v>
      </c>
      <c r="E164" s="12" t="s">
        <v>114</v>
      </c>
      <c r="F164" s="13" t="s">
        <v>315</v>
      </c>
      <c r="G164" s="156" t="s">
        <v>212</v>
      </c>
      <c r="H164" s="72">
        <f>'проект бюджета 2013'!H313</f>
        <v>5776.3</v>
      </c>
      <c r="I164" s="72">
        <f>'проект бюджета 2013'!I313</f>
        <v>8147.5</v>
      </c>
      <c r="J164" s="56">
        <f t="shared" si="27"/>
        <v>2371.2</v>
      </c>
      <c r="K164" s="72">
        <f>'проект бюджета 2013'!K313</f>
        <v>6647.5</v>
      </c>
      <c r="L164" s="72">
        <f>'проект бюджета 2013'!M313</f>
        <v>7671.700000000001</v>
      </c>
      <c r="M164" s="228">
        <f>'проект бюджета 2013'!N313</f>
        <v>8319.831</v>
      </c>
      <c r="N164" s="228">
        <f>'проект бюджета 2013'!O313</f>
        <v>8319.831</v>
      </c>
      <c r="O164" s="262">
        <f t="shared" si="24"/>
        <v>100</v>
      </c>
      <c r="P164" s="146"/>
    </row>
    <row r="165" spans="1:16" ht="26.25" customHeight="1">
      <c r="A165" s="154" t="s">
        <v>318</v>
      </c>
      <c r="B165" s="13" t="s">
        <v>166</v>
      </c>
      <c r="C165" s="11" t="s">
        <v>145</v>
      </c>
      <c r="D165" s="11" t="s">
        <v>177</v>
      </c>
      <c r="E165" s="12" t="s">
        <v>114</v>
      </c>
      <c r="F165" s="13" t="s">
        <v>316</v>
      </c>
      <c r="G165" s="13"/>
      <c r="H165" s="55" t="e">
        <f>H166</f>
        <v>#REF!</v>
      </c>
      <c r="I165" s="55" t="e">
        <f>I166</f>
        <v>#REF!</v>
      </c>
      <c r="J165" s="56" t="e">
        <f t="shared" si="27"/>
        <v>#REF!</v>
      </c>
      <c r="K165" s="55" t="e">
        <f>K166</f>
        <v>#REF!</v>
      </c>
      <c r="L165" s="55">
        <f>L166</f>
        <v>355</v>
      </c>
      <c r="M165" s="207">
        <f>M166</f>
        <v>20</v>
      </c>
      <c r="N165" s="207">
        <f>N166</f>
        <v>20</v>
      </c>
      <c r="O165" s="262">
        <f t="shared" si="24"/>
        <v>100</v>
      </c>
      <c r="P165" s="146"/>
    </row>
    <row r="166" spans="1:16" ht="16.5" customHeight="1">
      <c r="A166" s="6" t="s">
        <v>209</v>
      </c>
      <c r="B166" s="13" t="s">
        <v>166</v>
      </c>
      <c r="C166" s="11" t="s">
        <v>145</v>
      </c>
      <c r="D166" s="11" t="s">
        <v>177</v>
      </c>
      <c r="E166" s="12" t="s">
        <v>114</v>
      </c>
      <c r="F166" s="13" t="s">
        <v>316</v>
      </c>
      <c r="G166" s="156" t="s">
        <v>212</v>
      </c>
      <c r="H166" s="55" t="e">
        <f>#REF!</f>
        <v>#REF!</v>
      </c>
      <c r="I166" s="55" t="e">
        <f>#REF!</f>
        <v>#REF!</v>
      </c>
      <c r="J166" s="56" t="e">
        <f t="shared" si="27"/>
        <v>#REF!</v>
      </c>
      <c r="K166" s="55" t="e">
        <f>#REF!</f>
        <v>#REF!</v>
      </c>
      <c r="L166" s="55">
        <f>'проект бюджета 2013'!M315</f>
        <v>355</v>
      </c>
      <c r="M166" s="207">
        <f>'проект бюджета 2013'!N315</f>
        <v>20</v>
      </c>
      <c r="N166" s="207">
        <f>'проект бюджета 2013'!O315</f>
        <v>20</v>
      </c>
      <c r="O166" s="262">
        <f t="shared" si="24"/>
        <v>100</v>
      </c>
      <c r="P166" s="146"/>
    </row>
    <row r="167" spans="1:16" ht="16.5" customHeight="1">
      <c r="A167" s="120" t="s">
        <v>101</v>
      </c>
      <c r="B167" s="13"/>
      <c r="C167" s="11" t="s">
        <v>145</v>
      </c>
      <c r="D167" s="11" t="s">
        <v>177</v>
      </c>
      <c r="E167" s="37" t="s">
        <v>102</v>
      </c>
      <c r="F167" s="13"/>
      <c r="G167" s="34"/>
      <c r="H167" s="55"/>
      <c r="I167" s="55"/>
      <c r="J167" s="56"/>
      <c r="K167" s="55"/>
      <c r="L167" s="55">
        <f>L169</f>
        <v>0</v>
      </c>
      <c r="M167" s="207">
        <f aca="true" t="shared" si="28" ref="M167:N169">M168</f>
        <v>40.5</v>
      </c>
      <c r="N167" s="207">
        <f t="shared" si="28"/>
        <v>40.5</v>
      </c>
      <c r="O167" s="262">
        <f t="shared" si="24"/>
        <v>100</v>
      </c>
      <c r="P167" s="146"/>
    </row>
    <row r="168" spans="1:16" ht="39.75" customHeight="1">
      <c r="A168" s="145" t="s">
        <v>387</v>
      </c>
      <c r="B168" s="13"/>
      <c r="C168" s="11" t="s">
        <v>145</v>
      </c>
      <c r="D168" s="11" t="s">
        <v>177</v>
      </c>
      <c r="E168" s="37" t="s">
        <v>386</v>
      </c>
      <c r="F168" s="13"/>
      <c r="G168" s="34"/>
      <c r="H168" s="55"/>
      <c r="I168" s="55"/>
      <c r="J168" s="56"/>
      <c r="K168" s="55"/>
      <c r="L168" s="55"/>
      <c r="M168" s="207">
        <f t="shared" si="28"/>
        <v>40.5</v>
      </c>
      <c r="N168" s="207">
        <f t="shared" si="28"/>
        <v>40.5</v>
      </c>
      <c r="O168" s="262">
        <f t="shared" si="24"/>
        <v>100</v>
      </c>
      <c r="P168" s="146"/>
    </row>
    <row r="169" spans="1:16" ht="16.5" customHeight="1">
      <c r="A169" s="154" t="s">
        <v>318</v>
      </c>
      <c r="B169" s="13"/>
      <c r="C169" s="11" t="s">
        <v>145</v>
      </c>
      <c r="D169" s="11" t="s">
        <v>177</v>
      </c>
      <c r="E169" s="37" t="s">
        <v>386</v>
      </c>
      <c r="F169" s="13" t="s">
        <v>316</v>
      </c>
      <c r="G169" s="157"/>
      <c r="H169" s="55"/>
      <c r="I169" s="55"/>
      <c r="J169" s="56"/>
      <c r="K169" s="55"/>
      <c r="L169" s="55">
        <f>L170</f>
        <v>0</v>
      </c>
      <c r="M169" s="207">
        <f t="shared" si="28"/>
        <v>40.5</v>
      </c>
      <c r="N169" s="207">
        <f t="shared" si="28"/>
        <v>40.5</v>
      </c>
      <c r="O169" s="262">
        <f t="shared" si="24"/>
        <v>100</v>
      </c>
      <c r="P169" s="146"/>
    </row>
    <row r="170" spans="1:16" ht="16.5" customHeight="1">
      <c r="A170" s="6" t="s">
        <v>211</v>
      </c>
      <c r="B170" s="13"/>
      <c r="C170" s="11" t="s">
        <v>145</v>
      </c>
      <c r="D170" s="11" t="s">
        <v>177</v>
      </c>
      <c r="E170" s="37" t="s">
        <v>386</v>
      </c>
      <c r="F170" s="13" t="s">
        <v>316</v>
      </c>
      <c r="G170" s="157">
        <v>2</v>
      </c>
      <c r="H170" s="55"/>
      <c r="I170" s="55"/>
      <c r="J170" s="56"/>
      <c r="K170" s="55"/>
      <c r="L170" s="55">
        <f>'проект бюджета 2013'!M319</f>
        <v>0</v>
      </c>
      <c r="M170" s="207">
        <f>'проект бюджета 2013'!N319</f>
        <v>40.5</v>
      </c>
      <c r="N170" s="207">
        <f>'проект бюджета 2013'!O319</f>
        <v>40.5</v>
      </c>
      <c r="O170" s="262">
        <f t="shared" si="24"/>
        <v>100</v>
      </c>
      <c r="P170" s="146"/>
    </row>
    <row r="171" spans="1:16" ht="16.5" customHeight="1">
      <c r="A171" s="195" t="s">
        <v>440</v>
      </c>
      <c r="B171" s="13"/>
      <c r="C171" s="189" t="s">
        <v>145</v>
      </c>
      <c r="D171" s="189" t="s">
        <v>177</v>
      </c>
      <c r="E171" s="196" t="s">
        <v>430</v>
      </c>
      <c r="F171" s="188"/>
      <c r="G171" s="190"/>
      <c r="H171" s="55"/>
      <c r="I171" s="55"/>
      <c r="J171" s="56"/>
      <c r="K171" s="55"/>
      <c r="L171" s="55"/>
      <c r="M171" s="207">
        <f aca="true" t="shared" si="29" ref="M171:O172">M172</f>
        <v>51253.4</v>
      </c>
      <c r="N171" s="207">
        <f t="shared" si="29"/>
        <v>51229.897000000004</v>
      </c>
      <c r="O171" s="262">
        <f t="shared" si="24"/>
        <v>99.95414352999022</v>
      </c>
      <c r="P171" s="146"/>
    </row>
    <row r="172" spans="1:16" ht="28.5" customHeight="1">
      <c r="A172" s="195" t="s">
        <v>439</v>
      </c>
      <c r="B172" s="13"/>
      <c r="C172" s="189" t="s">
        <v>145</v>
      </c>
      <c r="D172" s="189" t="s">
        <v>177</v>
      </c>
      <c r="E172" s="196" t="s">
        <v>438</v>
      </c>
      <c r="F172" s="188"/>
      <c r="G172" s="190"/>
      <c r="H172" s="55"/>
      <c r="I172" s="55"/>
      <c r="J172" s="56"/>
      <c r="K172" s="55"/>
      <c r="L172" s="55"/>
      <c r="M172" s="207">
        <f t="shared" si="29"/>
        <v>51253.4</v>
      </c>
      <c r="N172" s="207">
        <f t="shared" si="29"/>
        <v>51229.897000000004</v>
      </c>
      <c r="O172" s="262">
        <f t="shared" si="24"/>
        <v>99.95414352999022</v>
      </c>
      <c r="P172" s="146"/>
    </row>
    <row r="173" spans="1:16" ht="16.5" customHeight="1">
      <c r="A173" s="6" t="s">
        <v>339</v>
      </c>
      <c r="B173" s="13"/>
      <c r="C173" s="189" t="s">
        <v>145</v>
      </c>
      <c r="D173" s="189" t="s">
        <v>177</v>
      </c>
      <c r="E173" s="196" t="s">
        <v>438</v>
      </c>
      <c r="F173" s="171" t="s">
        <v>20</v>
      </c>
      <c r="G173" s="190"/>
      <c r="H173" s="55"/>
      <c r="I173" s="55"/>
      <c r="J173" s="56"/>
      <c r="K173" s="55"/>
      <c r="L173" s="55"/>
      <c r="M173" s="207">
        <f>M174+M175+M176</f>
        <v>51253.4</v>
      </c>
      <c r="N173" s="207">
        <f>N174+N175+N176</f>
        <v>51229.897000000004</v>
      </c>
      <c r="O173" s="262">
        <f t="shared" si="24"/>
        <v>99.95414352999022</v>
      </c>
      <c r="P173" s="146"/>
    </row>
    <row r="174" spans="1:16" ht="16.5" customHeight="1">
      <c r="A174" s="195" t="s">
        <v>210</v>
      </c>
      <c r="B174" s="13"/>
      <c r="C174" s="189" t="s">
        <v>145</v>
      </c>
      <c r="D174" s="189" t="s">
        <v>177</v>
      </c>
      <c r="E174" s="196" t="s">
        <v>438</v>
      </c>
      <c r="F174" s="171" t="s">
        <v>20</v>
      </c>
      <c r="G174" s="190">
        <v>1</v>
      </c>
      <c r="H174" s="55"/>
      <c r="I174" s="55"/>
      <c r="J174" s="56"/>
      <c r="K174" s="55"/>
      <c r="L174" s="55"/>
      <c r="M174" s="207">
        <f>'проект бюджета 2013'!N153</f>
        <v>43002.700000000004</v>
      </c>
      <c r="N174" s="207">
        <f>'проект бюджета 2013'!O153</f>
        <v>43002.700000000004</v>
      </c>
      <c r="O174" s="262">
        <f t="shared" si="24"/>
        <v>100</v>
      </c>
      <c r="P174" s="146"/>
    </row>
    <row r="175" spans="1:16" ht="16.5" customHeight="1">
      <c r="A175" s="194" t="s">
        <v>211</v>
      </c>
      <c r="B175" s="13"/>
      <c r="C175" s="189" t="s">
        <v>145</v>
      </c>
      <c r="D175" s="189" t="s">
        <v>177</v>
      </c>
      <c r="E175" s="196" t="s">
        <v>438</v>
      </c>
      <c r="F175" s="171" t="s">
        <v>20</v>
      </c>
      <c r="G175" s="190">
        <v>2</v>
      </c>
      <c r="H175" s="55"/>
      <c r="I175" s="55"/>
      <c r="J175" s="56"/>
      <c r="K175" s="55"/>
      <c r="L175" s="55"/>
      <c r="M175" s="207">
        <f>'проект бюджета 2013'!N154</f>
        <v>7750.7</v>
      </c>
      <c r="N175" s="207">
        <f>'проект бюджета 2013'!O154</f>
        <v>7750.7</v>
      </c>
      <c r="O175" s="262">
        <f t="shared" si="24"/>
        <v>100</v>
      </c>
      <c r="P175" s="146"/>
    </row>
    <row r="176" spans="1:16" ht="16.5" customHeight="1">
      <c r="A176" s="194" t="s">
        <v>209</v>
      </c>
      <c r="B176" s="13"/>
      <c r="C176" s="189" t="s">
        <v>145</v>
      </c>
      <c r="D176" s="189" t="s">
        <v>177</v>
      </c>
      <c r="E176" s="196" t="s">
        <v>438</v>
      </c>
      <c r="F176" s="171" t="s">
        <v>20</v>
      </c>
      <c r="G176" s="190">
        <v>3</v>
      </c>
      <c r="H176" s="55"/>
      <c r="I176" s="55"/>
      <c r="J176" s="56"/>
      <c r="K176" s="55"/>
      <c r="L176" s="55"/>
      <c r="M176" s="207">
        <f>'проект бюджета 2013'!N155</f>
        <v>500</v>
      </c>
      <c r="N176" s="207">
        <f>'проект бюджета 2013'!O155</f>
        <v>476.497</v>
      </c>
      <c r="O176" s="262">
        <f t="shared" si="24"/>
        <v>95.2994</v>
      </c>
      <c r="P176" s="146"/>
    </row>
    <row r="177" spans="1:16" ht="27" customHeight="1">
      <c r="A177" s="152" t="s">
        <v>377</v>
      </c>
      <c r="B177" s="13"/>
      <c r="C177" s="11" t="s">
        <v>145</v>
      </c>
      <c r="D177" s="11" t="s">
        <v>177</v>
      </c>
      <c r="E177" s="12" t="s">
        <v>161</v>
      </c>
      <c r="F177" s="37"/>
      <c r="G177" s="34"/>
      <c r="H177" s="55"/>
      <c r="I177" s="55"/>
      <c r="J177" s="56"/>
      <c r="K177" s="55"/>
      <c r="L177" s="55"/>
      <c r="M177" s="207">
        <f aca="true" t="shared" si="30" ref="M177:O178">M178</f>
        <v>120</v>
      </c>
      <c r="N177" s="207">
        <f t="shared" si="30"/>
        <v>120</v>
      </c>
      <c r="O177" s="262">
        <f t="shared" si="24"/>
        <v>100</v>
      </c>
      <c r="P177" s="146"/>
    </row>
    <row r="178" spans="1:16" ht="16.5" customHeight="1">
      <c r="A178" s="155" t="s">
        <v>318</v>
      </c>
      <c r="B178" s="13"/>
      <c r="C178" s="11" t="s">
        <v>145</v>
      </c>
      <c r="D178" s="11" t="s">
        <v>177</v>
      </c>
      <c r="E178" s="12" t="s">
        <v>161</v>
      </c>
      <c r="F178" s="37" t="s">
        <v>316</v>
      </c>
      <c r="G178" s="157"/>
      <c r="H178" s="55"/>
      <c r="I178" s="55"/>
      <c r="J178" s="56"/>
      <c r="K178" s="55"/>
      <c r="L178" s="55"/>
      <c r="M178" s="207">
        <f t="shared" si="30"/>
        <v>120</v>
      </c>
      <c r="N178" s="207">
        <f t="shared" si="30"/>
        <v>120</v>
      </c>
      <c r="O178" s="262">
        <f t="shared" si="24"/>
        <v>100</v>
      </c>
      <c r="P178" s="146"/>
    </row>
    <row r="179" spans="1:16" ht="16.5" customHeight="1">
      <c r="A179" s="153" t="s">
        <v>211</v>
      </c>
      <c r="B179" s="13"/>
      <c r="C179" s="11" t="s">
        <v>145</v>
      </c>
      <c r="D179" s="11" t="s">
        <v>177</v>
      </c>
      <c r="E179" s="12" t="s">
        <v>161</v>
      </c>
      <c r="F179" s="37" t="s">
        <v>316</v>
      </c>
      <c r="G179" s="157">
        <v>2</v>
      </c>
      <c r="H179" s="55"/>
      <c r="I179" s="55"/>
      <c r="J179" s="56"/>
      <c r="K179" s="55"/>
      <c r="L179" s="55"/>
      <c r="M179" s="207">
        <f>'проект бюджета 2013'!N322</f>
        <v>120</v>
      </c>
      <c r="N179" s="207">
        <f>'проект бюджета 2013'!O322</f>
        <v>120</v>
      </c>
      <c r="O179" s="262">
        <f t="shared" si="24"/>
        <v>100</v>
      </c>
      <c r="P179" s="146"/>
    </row>
    <row r="180" spans="1:16" ht="27" customHeight="1">
      <c r="A180" s="5" t="s">
        <v>162</v>
      </c>
      <c r="B180" s="13"/>
      <c r="C180" s="11" t="s">
        <v>145</v>
      </c>
      <c r="D180" s="11" t="s">
        <v>177</v>
      </c>
      <c r="E180" s="12" t="s">
        <v>241</v>
      </c>
      <c r="F180" s="13"/>
      <c r="G180" s="34"/>
      <c r="H180" s="55"/>
      <c r="I180" s="55"/>
      <c r="J180" s="56"/>
      <c r="K180" s="55"/>
      <c r="L180" s="55">
        <f aca="true" t="shared" si="31" ref="L180:O181">L181</f>
        <v>0</v>
      </c>
      <c r="M180" s="207">
        <f t="shared" si="31"/>
        <v>0</v>
      </c>
      <c r="N180" s="207">
        <f t="shared" si="31"/>
        <v>0</v>
      </c>
      <c r="O180" s="262"/>
      <c r="P180" s="146"/>
    </row>
    <row r="181" spans="1:16" ht="16.5" customHeight="1">
      <c r="A181" s="154" t="s">
        <v>318</v>
      </c>
      <c r="B181" s="13"/>
      <c r="C181" s="11" t="s">
        <v>145</v>
      </c>
      <c r="D181" s="11" t="s">
        <v>177</v>
      </c>
      <c r="E181" s="12" t="s">
        <v>241</v>
      </c>
      <c r="F181" s="13" t="s">
        <v>316</v>
      </c>
      <c r="G181" s="157"/>
      <c r="H181" s="55"/>
      <c r="I181" s="55"/>
      <c r="J181" s="56"/>
      <c r="K181" s="55"/>
      <c r="L181" s="55">
        <f t="shared" si="31"/>
        <v>0</v>
      </c>
      <c r="M181" s="207">
        <f t="shared" si="31"/>
        <v>0</v>
      </c>
      <c r="N181" s="207">
        <f t="shared" si="31"/>
        <v>0</v>
      </c>
      <c r="O181" s="262"/>
      <c r="P181" s="146"/>
    </row>
    <row r="182" spans="1:16" ht="16.5" customHeight="1">
      <c r="A182" s="6" t="s">
        <v>209</v>
      </c>
      <c r="B182" s="13"/>
      <c r="C182" s="11" t="s">
        <v>145</v>
      </c>
      <c r="D182" s="11" t="s">
        <v>177</v>
      </c>
      <c r="E182" s="12" t="s">
        <v>241</v>
      </c>
      <c r="F182" s="13" t="s">
        <v>316</v>
      </c>
      <c r="G182" s="157">
        <v>3</v>
      </c>
      <c r="H182" s="55"/>
      <c r="I182" s="55"/>
      <c r="J182" s="56"/>
      <c r="K182" s="55"/>
      <c r="L182" s="55">
        <f>'проект бюджета 2013'!M325</f>
        <v>0</v>
      </c>
      <c r="M182" s="207">
        <f>'проект бюджета 2013'!N325</f>
        <v>0</v>
      </c>
      <c r="N182" s="207">
        <f>'проект бюджета 2013'!O325</f>
        <v>0</v>
      </c>
      <c r="O182" s="262"/>
      <c r="P182" s="146"/>
    </row>
    <row r="183" spans="1:16" ht="16.5" customHeight="1">
      <c r="A183" s="105" t="s">
        <v>5</v>
      </c>
      <c r="B183" s="13"/>
      <c r="C183" s="11" t="s">
        <v>145</v>
      </c>
      <c r="D183" s="11" t="s">
        <v>177</v>
      </c>
      <c r="E183" s="37" t="s">
        <v>6</v>
      </c>
      <c r="F183" s="13"/>
      <c r="G183" s="34"/>
      <c r="H183" s="55"/>
      <c r="I183" s="55"/>
      <c r="J183" s="56"/>
      <c r="K183" s="55"/>
      <c r="L183" s="55"/>
      <c r="M183" s="207">
        <f>M184</f>
        <v>301.3</v>
      </c>
      <c r="N183" s="207">
        <f aca="true" t="shared" si="32" ref="N183:O185">N184</f>
        <v>301.3</v>
      </c>
      <c r="O183" s="262">
        <f t="shared" si="24"/>
        <v>100</v>
      </c>
      <c r="P183" s="146"/>
    </row>
    <row r="184" spans="1:16" ht="76.5">
      <c r="A184" s="105" t="s">
        <v>447</v>
      </c>
      <c r="B184" s="13"/>
      <c r="C184" s="11" t="s">
        <v>145</v>
      </c>
      <c r="D184" s="11" t="s">
        <v>177</v>
      </c>
      <c r="E184" s="37" t="s">
        <v>448</v>
      </c>
      <c r="F184" s="13"/>
      <c r="G184" s="34"/>
      <c r="H184" s="55"/>
      <c r="I184" s="55"/>
      <c r="J184" s="56"/>
      <c r="K184" s="55"/>
      <c r="L184" s="55"/>
      <c r="M184" s="207">
        <f>M185</f>
        <v>301.3</v>
      </c>
      <c r="N184" s="207">
        <f t="shared" si="32"/>
        <v>301.3</v>
      </c>
      <c r="O184" s="262">
        <f t="shared" si="24"/>
        <v>100</v>
      </c>
      <c r="P184" s="146"/>
    </row>
    <row r="185" spans="1:16" ht="41.25" customHeight="1">
      <c r="A185" s="6" t="s">
        <v>319</v>
      </c>
      <c r="B185" s="13"/>
      <c r="C185" s="11" t="s">
        <v>145</v>
      </c>
      <c r="D185" s="11" t="s">
        <v>177</v>
      </c>
      <c r="E185" s="37" t="s">
        <v>448</v>
      </c>
      <c r="F185" s="13" t="s">
        <v>315</v>
      </c>
      <c r="G185" s="34"/>
      <c r="H185" s="55"/>
      <c r="I185" s="55"/>
      <c r="J185" s="56"/>
      <c r="K185" s="55"/>
      <c r="L185" s="55"/>
      <c r="M185" s="207">
        <f>M186</f>
        <v>301.3</v>
      </c>
      <c r="N185" s="207">
        <f t="shared" si="32"/>
        <v>301.3</v>
      </c>
      <c r="O185" s="262">
        <f t="shared" si="24"/>
        <v>100</v>
      </c>
      <c r="P185" s="146"/>
    </row>
    <row r="186" spans="1:16" ht="16.5" customHeight="1">
      <c r="A186" s="6" t="s">
        <v>211</v>
      </c>
      <c r="B186" s="13"/>
      <c r="C186" s="11" t="s">
        <v>145</v>
      </c>
      <c r="D186" s="11" t="s">
        <v>177</v>
      </c>
      <c r="E186" s="37" t="s">
        <v>448</v>
      </c>
      <c r="F186" s="13" t="s">
        <v>315</v>
      </c>
      <c r="G186" s="34">
        <v>2</v>
      </c>
      <c r="H186" s="55"/>
      <c r="I186" s="55"/>
      <c r="J186" s="56"/>
      <c r="K186" s="55"/>
      <c r="L186" s="55"/>
      <c r="M186" s="207">
        <f>'проект бюджета 2013'!N329</f>
        <v>301.3</v>
      </c>
      <c r="N186" s="207">
        <f>'проект бюджета 2013'!O329</f>
        <v>301.3</v>
      </c>
      <c r="O186" s="262">
        <f t="shared" si="24"/>
        <v>100</v>
      </c>
      <c r="P186" s="146"/>
    </row>
    <row r="187" spans="1:16" ht="14.25">
      <c r="A187" s="4" t="s">
        <v>3</v>
      </c>
      <c r="B187" s="4"/>
      <c r="C187" s="11" t="s">
        <v>145</v>
      </c>
      <c r="D187" s="11" t="s">
        <v>178</v>
      </c>
      <c r="E187" s="11">
        <v>0</v>
      </c>
      <c r="F187" s="11"/>
      <c r="G187" s="11"/>
      <c r="H187" s="55" t="e">
        <f>H188+H194+#REF!+#REF!+#REF!+H210+#REF!+#REF!+H205+H216+#REF!</f>
        <v>#REF!</v>
      </c>
      <c r="I187" s="55" t="e">
        <f>I188+I194+#REF!+#REF!+#REF!+I210+#REF!+#REF!+I205+I216+#REF!</f>
        <v>#REF!</v>
      </c>
      <c r="J187" s="56" t="e">
        <f>I187-H187</f>
        <v>#REF!</v>
      </c>
      <c r="K187" s="55" t="e">
        <f>K188+K194+#REF!+#REF!+#REF!+K210+#REF!+#REF!+K205+K216+#REF!</f>
        <v>#REF!</v>
      </c>
      <c r="L187" s="55" t="e">
        <f>L188+L194+L205+L210+L216+L213+L219+L229</f>
        <v>#REF!</v>
      </c>
      <c r="M187" s="207">
        <f>M188+M194+M205+M210+M216+M213+M219+M229+M222+M200</f>
        <v>133714.32012999998</v>
      </c>
      <c r="N187" s="207">
        <f>N188+N194+N205+N210+N216+N213+N219+N229+N222+N200</f>
        <v>133713.94553</v>
      </c>
      <c r="O187" s="262">
        <f t="shared" si="24"/>
        <v>99.99971985049947</v>
      </c>
      <c r="P187" s="146"/>
    </row>
    <row r="188" spans="1:16" ht="25.5">
      <c r="A188" s="5" t="s">
        <v>59</v>
      </c>
      <c r="B188" s="5"/>
      <c r="C188" s="11" t="s">
        <v>145</v>
      </c>
      <c r="D188" s="11" t="s">
        <v>178</v>
      </c>
      <c r="E188" s="12" t="s">
        <v>58</v>
      </c>
      <c r="F188" s="12"/>
      <c r="G188" s="12"/>
      <c r="H188" s="55" t="e">
        <f>H189</f>
        <v>#REF!</v>
      </c>
      <c r="I188" s="55" t="e">
        <f>I189</f>
        <v>#REF!</v>
      </c>
      <c r="J188" s="56" t="e">
        <f>I188-H188</f>
        <v>#REF!</v>
      </c>
      <c r="K188" s="55" t="e">
        <f>K189</f>
        <v>#REF!</v>
      </c>
      <c r="L188" s="55" t="e">
        <f>L189</f>
        <v>#REF!</v>
      </c>
      <c r="M188" s="207">
        <f>M189</f>
        <v>16134.699999999999</v>
      </c>
      <c r="N188" s="207">
        <f>N189</f>
        <v>16134.325799999999</v>
      </c>
      <c r="O188" s="262">
        <f t="shared" si="24"/>
        <v>99.99768077497568</v>
      </c>
      <c r="P188" s="146"/>
    </row>
    <row r="189" spans="1:16" ht="25.5">
      <c r="A189" s="105" t="s">
        <v>343</v>
      </c>
      <c r="B189" s="5"/>
      <c r="C189" s="11" t="s">
        <v>145</v>
      </c>
      <c r="D189" s="11" t="s">
        <v>178</v>
      </c>
      <c r="E189" s="12" t="s">
        <v>41</v>
      </c>
      <c r="F189" s="12"/>
      <c r="G189" s="12"/>
      <c r="H189" s="55" t="e">
        <f>H190</f>
        <v>#REF!</v>
      </c>
      <c r="I189" s="55" t="e">
        <f>I190</f>
        <v>#REF!</v>
      </c>
      <c r="J189" s="56" t="e">
        <f>I189-H189</f>
        <v>#REF!</v>
      </c>
      <c r="K189" s="55" t="e">
        <f>K190</f>
        <v>#REF!</v>
      </c>
      <c r="L189" s="55" t="e">
        <f>L190+L192</f>
        <v>#REF!</v>
      </c>
      <c r="M189" s="207">
        <f>M190+M192</f>
        <v>16134.699999999999</v>
      </c>
      <c r="N189" s="207">
        <f>N190+N192</f>
        <v>16134.325799999999</v>
      </c>
      <c r="O189" s="262">
        <f t="shared" si="24"/>
        <v>99.99768077497568</v>
      </c>
      <c r="P189" s="146"/>
    </row>
    <row r="190" spans="1:16" ht="43.5" customHeight="1">
      <c r="A190" s="154" t="s">
        <v>319</v>
      </c>
      <c r="B190" s="6"/>
      <c r="C190" s="11" t="s">
        <v>145</v>
      </c>
      <c r="D190" s="11" t="s">
        <v>178</v>
      </c>
      <c r="E190" s="13" t="s">
        <v>41</v>
      </c>
      <c r="F190" s="13" t="s">
        <v>315</v>
      </c>
      <c r="G190" s="13"/>
      <c r="H190" s="55" t="e">
        <f>#REF!+H191</f>
        <v>#REF!</v>
      </c>
      <c r="I190" s="55" t="e">
        <f>#REF!+I191</f>
        <v>#REF!</v>
      </c>
      <c r="J190" s="56" t="e">
        <f>I190-H190</f>
        <v>#REF!</v>
      </c>
      <c r="K190" s="55" t="e">
        <f>#REF!+K191</f>
        <v>#REF!</v>
      </c>
      <c r="L190" s="55" t="e">
        <f>#REF!+L191</f>
        <v>#REF!</v>
      </c>
      <c r="M190" s="207">
        <f>M191</f>
        <v>15377.3</v>
      </c>
      <c r="N190" s="207">
        <f>N191</f>
        <v>15377.3</v>
      </c>
      <c r="O190" s="262">
        <f t="shared" si="24"/>
        <v>100</v>
      </c>
      <c r="P190" s="146"/>
    </row>
    <row r="191" spans="1:16" ht="15" customHeight="1">
      <c r="A191" s="6" t="s">
        <v>209</v>
      </c>
      <c r="B191" s="3"/>
      <c r="C191" s="11" t="s">
        <v>145</v>
      </c>
      <c r="D191" s="11" t="s">
        <v>178</v>
      </c>
      <c r="E191" s="13" t="s">
        <v>41</v>
      </c>
      <c r="F191" s="13" t="s">
        <v>315</v>
      </c>
      <c r="G191" s="156" t="s">
        <v>212</v>
      </c>
      <c r="H191" s="72">
        <f>'проект бюджета 2013'!H334</f>
        <v>12164.9</v>
      </c>
      <c r="I191" s="72">
        <f>'проект бюджета 2013'!I334</f>
        <v>14011</v>
      </c>
      <c r="J191" s="56">
        <f>I191-H191</f>
        <v>1846.1000000000004</v>
      </c>
      <c r="K191" s="72">
        <f>'проект бюджета 2013'!K334</f>
        <v>15165</v>
      </c>
      <c r="L191" s="72">
        <f>'проект бюджета 2013'!M334</f>
        <v>13599.8</v>
      </c>
      <c r="M191" s="228">
        <f>'проект бюджета 2013'!N334</f>
        <v>15377.3</v>
      </c>
      <c r="N191" s="228">
        <f>'проект бюджета 2013'!O334</f>
        <v>15377.3</v>
      </c>
      <c r="O191" s="262">
        <f t="shared" si="24"/>
        <v>100</v>
      </c>
      <c r="P191" s="146"/>
    </row>
    <row r="192" spans="1:16" ht="15" customHeight="1">
      <c r="A192" s="154" t="s">
        <v>318</v>
      </c>
      <c r="B192" s="3"/>
      <c r="C192" s="11" t="s">
        <v>145</v>
      </c>
      <c r="D192" s="11" t="s">
        <v>178</v>
      </c>
      <c r="E192" s="13" t="s">
        <v>41</v>
      </c>
      <c r="F192" s="13" t="s">
        <v>316</v>
      </c>
      <c r="G192" s="156"/>
      <c r="H192" s="72"/>
      <c r="I192" s="72"/>
      <c r="J192" s="56"/>
      <c r="K192" s="72"/>
      <c r="L192" s="72">
        <f>L193</f>
        <v>1000.4</v>
      </c>
      <c r="M192" s="228">
        <f>M193</f>
        <v>757.4000000000001</v>
      </c>
      <c r="N192" s="228">
        <f>N193</f>
        <v>757.0258</v>
      </c>
      <c r="O192" s="262">
        <f t="shared" si="24"/>
        <v>99.95059413783997</v>
      </c>
      <c r="P192" s="146"/>
    </row>
    <row r="193" spans="1:16" ht="15" customHeight="1">
      <c r="A193" s="6" t="s">
        <v>209</v>
      </c>
      <c r="B193" s="3"/>
      <c r="C193" s="11" t="s">
        <v>145</v>
      </c>
      <c r="D193" s="11" t="s">
        <v>178</v>
      </c>
      <c r="E193" s="13" t="s">
        <v>41</v>
      </c>
      <c r="F193" s="13" t="s">
        <v>316</v>
      </c>
      <c r="G193" s="156" t="s">
        <v>212</v>
      </c>
      <c r="H193" s="72"/>
      <c r="I193" s="72"/>
      <c r="J193" s="56"/>
      <c r="K193" s="72"/>
      <c r="L193" s="72">
        <f>'проект бюджета 2013'!M336</f>
        <v>1000.4</v>
      </c>
      <c r="M193" s="228">
        <f>'проект бюджета 2013'!N336</f>
        <v>757.4000000000001</v>
      </c>
      <c r="N193" s="228">
        <f>'проект бюджета 2013'!O336</f>
        <v>757.0258</v>
      </c>
      <c r="O193" s="262">
        <f t="shared" si="24"/>
        <v>99.95059413783997</v>
      </c>
      <c r="P193" s="146"/>
    </row>
    <row r="194" spans="1:16" ht="14.25">
      <c r="A194" s="5" t="s">
        <v>4</v>
      </c>
      <c r="B194" s="5"/>
      <c r="C194" s="11" t="s">
        <v>145</v>
      </c>
      <c r="D194" s="11" t="s">
        <v>178</v>
      </c>
      <c r="E194" s="12" t="s">
        <v>60</v>
      </c>
      <c r="F194" s="12"/>
      <c r="G194" s="12"/>
      <c r="H194" s="55" t="e">
        <f>H195</f>
        <v>#REF!</v>
      </c>
      <c r="I194" s="55" t="e">
        <f>I195</f>
        <v>#REF!</v>
      </c>
      <c r="J194" s="56" t="e">
        <f aca="true" t="shared" si="33" ref="J194:J199">I194-H194</f>
        <v>#REF!</v>
      </c>
      <c r="K194" s="55" t="e">
        <f>K195</f>
        <v>#REF!</v>
      </c>
      <c r="L194" s="55">
        <f>L195</f>
        <v>11594.7</v>
      </c>
      <c r="M194" s="207">
        <f>M195</f>
        <v>12230.455</v>
      </c>
      <c r="N194" s="207">
        <f>N195</f>
        <v>12230.454600000001</v>
      </c>
      <c r="O194" s="262">
        <f t="shared" si="24"/>
        <v>99.99999672947573</v>
      </c>
      <c r="P194" s="146"/>
    </row>
    <row r="195" spans="1:16" ht="25.5">
      <c r="A195" s="105" t="s">
        <v>343</v>
      </c>
      <c r="B195" s="5"/>
      <c r="C195" s="11" t="s">
        <v>145</v>
      </c>
      <c r="D195" s="11" t="s">
        <v>178</v>
      </c>
      <c r="E195" s="12" t="s">
        <v>42</v>
      </c>
      <c r="F195" s="12"/>
      <c r="G195" s="12"/>
      <c r="H195" s="55" t="e">
        <f>H196</f>
        <v>#REF!</v>
      </c>
      <c r="I195" s="55" t="e">
        <f>I196</f>
        <v>#REF!</v>
      </c>
      <c r="J195" s="56" t="e">
        <f t="shared" si="33"/>
        <v>#REF!</v>
      </c>
      <c r="K195" s="55" t="e">
        <f>K196</f>
        <v>#REF!</v>
      </c>
      <c r="L195" s="55">
        <f>L196+L198</f>
        <v>11594.7</v>
      </c>
      <c r="M195" s="207">
        <f>M196+M198</f>
        <v>12230.455</v>
      </c>
      <c r="N195" s="207">
        <f>N196+N198</f>
        <v>12230.454600000001</v>
      </c>
      <c r="O195" s="262">
        <f t="shared" si="24"/>
        <v>99.99999672947573</v>
      </c>
      <c r="P195" s="146"/>
    </row>
    <row r="196" spans="1:16" ht="38.25">
      <c r="A196" s="154" t="s">
        <v>319</v>
      </c>
      <c r="B196" s="6"/>
      <c r="C196" s="11" t="s">
        <v>145</v>
      </c>
      <c r="D196" s="11" t="s">
        <v>178</v>
      </c>
      <c r="E196" s="12" t="s">
        <v>42</v>
      </c>
      <c r="F196" s="13" t="s">
        <v>315</v>
      </c>
      <c r="G196" s="13"/>
      <c r="H196" s="55" t="e">
        <f>'проект бюджета 2013'!#REF!+'проект бюджета 2013'!#REF!+'проект бюджета 2013'!H339</f>
        <v>#REF!</v>
      </c>
      <c r="I196" s="55" t="e">
        <f>'проект бюджета 2013'!#REF!+'проект бюджета 2013'!#REF!+'проект бюджета 2013'!I339</f>
        <v>#REF!</v>
      </c>
      <c r="J196" s="56" t="e">
        <f t="shared" si="33"/>
        <v>#REF!</v>
      </c>
      <c r="K196" s="55" t="e">
        <f>'проект бюджета 2013'!#REF!+'проект бюджета 2013'!#REF!+'проект бюджета 2013'!K339</f>
        <v>#REF!</v>
      </c>
      <c r="L196" s="55">
        <f>L197</f>
        <v>11464.7</v>
      </c>
      <c r="M196" s="207">
        <f>M197</f>
        <v>12155.455</v>
      </c>
      <c r="N196" s="207">
        <f>N197</f>
        <v>12155.454600000001</v>
      </c>
      <c r="O196" s="262">
        <f t="shared" si="24"/>
        <v>99.99999670929637</v>
      </c>
      <c r="P196" s="146"/>
    </row>
    <row r="197" spans="1:16" ht="15" customHeight="1">
      <c r="A197" s="6" t="s">
        <v>209</v>
      </c>
      <c r="B197" s="3"/>
      <c r="C197" s="11" t="s">
        <v>145</v>
      </c>
      <c r="D197" s="11" t="s">
        <v>178</v>
      </c>
      <c r="E197" s="12" t="s">
        <v>42</v>
      </c>
      <c r="F197" s="13" t="s">
        <v>315</v>
      </c>
      <c r="G197" s="156" t="s">
        <v>212</v>
      </c>
      <c r="H197" s="72" t="e">
        <f>'проект бюджета 2013'!#REF!+'проект бюджета 2013'!#REF!+'проект бюджета 2013'!H340</f>
        <v>#REF!</v>
      </c>
      <c r="I197" s="72" t="e">
        <f>'проект бюджета 2013'!I340+'проект бюджета 2013'!#REF!+'проект бюджета 2013'!#REF!</f>
        <v>#REF!</v>
      </c>
      <c r="J197" s="56" t="e">
        <f t="shared" si="33"/>
        <v>#REF!</v>
      </c>
      <c r="K197" s="72" t="e">
        <f>'проект бюджета 2013'!K340+'проект бюджета 2013'!#REF!+'проект бюджета 2013'!#REF!</f>
        <v>#REF!</v>
      </c>
      <c r="L197" s="72">
        <f>'проект бюджета 2013'!M340+'проект бюджета 2013'!M460</f>
        <v>11464.7</v>
      </c>
      <c r="M197" s="228">
        <f>'проект бюджета 2013'!N340+'проект бюджета 2013'!N460</f>
        <v>12155.455</v>
      </c>
      <c r="N197" s="228">
        <f>'проект бюджета 2013'!O340+'проект бюджета 2013'!O460</f>
        <v>12155.454600000001</v>
      </c>
      <c r="O197" s="262">
        <f t="shared" si="24"/>
        <v>99.99999670929637</v>
      </c>
      <c r="P197" s="146"/>
    </row>
    <row r="198" spans="1:16" ht="14.25" customHeight="1">
      <c r="A198" s="154" t="s">
        <v>318</v>
      </c>
      <c r="B198" s="5"/>
      <c r="C198" s="11" t="s">
        <v>145</v>
      </c>
      <c r="D198" s="11" t="s">
        <v>178</v>
      </c>
      <c r="E198" s="12" t="s">
        <v>42</v>
      </c>
      <c r="F198" s="13" t="s">
        <v>316</v>
      </c>
      <c r="G198" s="156"/>
      <c r="H198" s="55"/>
      <c r="I198" s="55"/>
      <c r="J198" s="56">
        <f t="shared" si="33"/>
        <v>0</v>
      </c>
      <c r="K198" s="55"/>
      <c r="L198" s="55">
        <f>L199</f>
        <v>130</v>
      </c>
      <c r="M198" s="207">
        <f>M199</f>
        <v>75</v>
      </c>
      <c r="N198" s="207">
        <f>N199</f>
        <v>75</v>
      </c>
      <c r="O198" s="262">
        <f t="shared" si="24"/>
        <v>100</v>
      </c>
      <c r="P198" s="146"/>
    </row>
    <row r="199" spans="1:16" ht="15.75" customHeight="1">
      <c r="A199" s="6" t="s">
        <v>209</v>
      </c>
      <c r="B199" s="5"/>
      <c r="C199" s="11" t="s">
        <v>145</v>
      </c>
      <c r="D199" s="11" t="s">
        <v>178</v>
      </c>
      <c r="E199" s="12" t="s">
        <v>42</v>
      </c>
      <c r="F199" s="13" t="s">
        <v>316</v>
      </c>
      <c r="G199" s="156" t="s">
        <v>212</v>
      </c>
      <c r="H199" s="55"/>
      <c r="I199" s="55"/>
      <c r="J199" s="56">
        <f t="shared" si="33"/>
        <v>0</v>
      </c>
      <c r="K199" s="55"/>
      <c r="L199" s="55">
        <f>'проект бюджета 2013'!M462+'проект бюджета 2013'!M342</f>
        <v>130</v>
      </c>
      <c r="M199" s="207">
        <f>'проект бюджета 2013'!N462+'проект бюджета 2013'!N342</f>
        <v>75</v>
      </c>
      <c r="N199" s="207">
        <f>'проект бюджета 2013'!O462+'проект бюджета 2013'!O342</f>
        <v>75</v>
      </c>
      <c r="O199" s="262">
        <f t="shared" si="24"/>
        <v>100</v>
      </c>
      <c r="P199" s="146"/>
    </row>
    <row r="200" spans="1:16" ht="15.75" customHeight="1">
      <c r="A200" s="105" t="s">
        <v>429</v>
      </c>
      <c r="B200" s="5"/>
      <c r="C200" s="11" t="s">
        <v>145</v>
      </c>
      <c r="D200" s="11" t="s">
        <v>178</v>
      </c>
      <c r="E200" s="37" t="s">
        <v>430</v>
      </c>
      <c r="F200" s="13"/>
      <c r="G200" s="34"/>
      <c r="H200" s="55"/>
      <c r="I200" s="55"/>
      <c r="J200" s="56"/>
      <c r="K200" s="55"/>
      <c r="L200" s="55"/>
      <c r="M200" s="207">
        <f aca="true" t="shared" si="34" ref="M200:O201">M201</f>
        <v>1820</v>
      </c>
      <c r="N200" s="207">
        <f t="shared" si="34"/>
        <v>1820</v>
      </c>
      <c r="O200" s="262">
        <f t="shared" si="24"/>
        <v>100</v>
      </c>
      <c r="P200" s="146"/>
    </row>
    <row r="201" spans="1:16" ht="28.5" customHeight="1">
      <c r="A201" s="105" t="s">
        <v>431</v>
      </c>
      <c r="B201" s="5"/>
      <c r="C201" s="11" t="s">
        <v>145</v>
      </c>
      <c r="D201" s="11" t="s">
        <v>178</v>
      </c>
      <c r="E201" s="37" t="s">
        <v>432</v>
      </c>
      <c r="F201" s="13"/>
      <c r="G201" s="34"/>
      <c r="H201" s="55"/>
      <c r="I201" s="55"/>
      <c r="J201" s="56"/>
      <c r="K201" s="55"/>
      <c r="L201" s="55"/>
      <c r="M201" s="207">
        <f t="shared" si="34"/>
        <v>1820</v>
      </c>
      <c r="N201" s="207">
        <f t="shared" si="34"/>
        <v>1820</v>
      </c>
      <c r="O201" s="262">
        <f t="shared" si="24"/>
        <v>100</v>
      </c>
      <c r="P201" s="146"/>
    </row>
    <row r="202" spans="1:16" ht="15.75" customHeight="1">
      <c r="A202" s="154" t="s">
        <v>318</v>
      </c>
      <c r="B202" s="5"/>
      <c r="C202" s="11" t="s">
        <v>145</v>
      </c>
      <c r="D202" s="11" t="s">
        <v>178</v>
      </c>
      <c r="E202" s="37" t="s">
        <v>432</v>
      </c>
      <c r="F202" s="13" t="s">
        <v>316</v>
      </c>
      <c r="G202" s="157"/>
      <c r="H202" s="55"/>
      <c r="I202" s="55"/>
      <c r="J202" s="56"/>
      <c r="K202" s="55"/>
      <c r="L202" s="55"/>
      <c r="M202" s="207">
        <f>M203+M204</f>
        <v>1820</v>
      </c>
      <c r="N202" s="207">
        <f>N203+N204</f>
        <v>1820</v>
      </c>
      <c r="O202" s="262">
        <f t="shared" si="24"/>
        <v>100</v>
      </c>
      <c r="P202" s="146"/>
    </row>
    <row r="203" spans="1:16" ht="15.75" customHeight="1">
      <c r="A203" s="169" t="s">
        <v>210</v>
      </c>
      <c r="B203" s="5"/>
      <c r="C203" s="11" t="s">
        <v>145</v>
      </c>
      <c r="D203" s="11" t="s">
        <v>178</v>
      </c>
      <c r="E203" s="37" t="s">
        <v>432</v>
      </c>
      <c r="F203" s="13" t="s">
        <v>316</v>
      </c>
      <c r="G203" s="157">
        <v>1</v>
      </c>
      <c r="H203" s="55"/>
      <c r="I203" s="55"/>
      <c r="J203" s="56"/>
      <c r="K203" s="55"/>
      <c r="L203" s="55"/>
      <c r="M203" s="207">
        <f>'проект бюджета 2013'!N346</f>
        <v>1620</v>
      </c>
      <c r="N203" s="207">
        <f>'проект бюджета 2013'!O346</f>
        <v>1620</v>
      </c>
      <c r="O203" s="262">
        <f t="shared" si="24"/>
        <v>100</v>
      </c>
      <c r="P203" s="146"/>
    </row>
    <row r="204" spans="1:16" ht="15.75" customHeight="1">
      <c r="A204" s="6" t="s">
        <v>209</v>
      </c>
      <c r="B204" s="5"/>
      <c r="C204" s="11" t="s">
        <v>145</v>
      </c>
      <c r="D204" s="11" t="s">
        <v>178</v>
      </c>
      <c r="E204" s="37" t="s">
        <v>432</v>
      </c>
      <c r="F204" s="13" t="s">
        <v>316</v>
      </c>
      <c r="G204" s="157">
        <v>3</v>
      </c>
      <c r="H204" s="55"/>
      <c r="I204" s="55"/>
      <c r="J204" s="56"/>
      <c r="K204" s="55"/>
      <c r="L204" s="55"/>
      <c r="M204" s="207">
        <f>'проект бюджета 2013'!N347</f>
        <v>199.9999999999999</v>
      </c>
      <c r="N204" s="207">
        <f>'проект бюджета 2013'!O347</f>
        <v>199.9999999999999</v>
      </c>
      <c r="O204" s="262">
        <f t="shared" si="24"/>
        <v>100</v>
      </c>
      <c r="P204" s="146"/>
    </row>
    <row r="205" spans="1:16" ht="14.25">
      <c r="A205" s="5" t="s">
        <v>5</v>
      </c>
      <c r="B205" s="12" t="s">
        <v>166</v>
      </c>
      <c r="C205" s="11" t="s">
        <v>145</v>
      </c>
      <c r="D205" s="11" t="s">
        <v>178</v>
      </c>
      <c r="E205" s="12" t="s">
        <v>6</v>
      </c>
      <c r="F205" s="12"/>
      <c r="G205" s="34"/>
      <c r="H205" s="55">
        <f>H206</f>
        <v>1425.6</v>
      </c>
      <c r="I205" s="55">
        <f>I206</f>
        <v>0</v>
      </c>
      <c r="J205" s="56">
        <f>I205-H205</f>
        <v>-1425.6</v>
      </c>
      <c r="K205" s="55">
        <f>K206</f>
        <v>1373.7</v>
      </c>
      <c r="L205" s="55">
        <f>L206</f>
        <v>1373.7</v>
      </c>
      <c r="M205" s="207">
        <f>M206</f>
        <v>2460.1000000000004</v>
      </c>
      <c r="N205" s="207">
        <f>N206</f>
        <v>2387.1000000000004</v>
      </c>
      <c r="O205" s="262">
        <f t="shared" si="24"/>
        <v>97.03264094955489</v>
      </c>
      <c r="P205" s="146"/>
    </row>
    <row r="206" spans="1:16" ht="25.5">
      <c r="A206" s="105" t="s">
        <v>90</v>
      </c>
      <c r="B206" s="12" t="s">
        <v>166</v>
      </c>
      <c r="C206" s="11" t="s">
        <v>145</v>
      </c>
      <c r="D206" s="11" t="s">
        <v>178</v>
      </c>
      <c r="E206" s="12" t="s">
        <v>92</v>
      </c>
      <c r="F206" s="12"/>
      <c r="G206" s="34"/>
      <c r="H206" s="55">
        <f>H208</f>
        <v>1425.6</v>
      </c>
      <c r="I206" s="55">
        <f>I208</f>
        <v>0</v>
      </c>
      <c r="J206" s="56">
        <f>I206-H206</f>
        <v>-1425.6</v>
      </c>
      <c r="K206" s="55">
        <f>K208</f>
        <v>1373.7</v>
      </c>
      <c r="L206" s="55">
        <f>L208</f>
        <v>1373.7</v>
      </c>
      <c r="M206" s="207">
        <f>M207</f>
        <v>2460.1000000000004</v>
      </c>
      <c r="N206" s="207">
        <f>N207</f>
        <v>2387.1000000000004</v>
      </c>
      <c r="O206" s="262">
        <f t="shared" si="24"/>
        <v>97.03264094955489</v>
      </c>
      <c r="P206" s="146"/>
    </row>
    <row r="207" spans="1:16" ht="38.25">
      <c r="A207" s="154" t="s">
        <v>319</v>
      </c>
      <c r="B207" s="12"/>
      <c r="C207" s="11" t="s">
        <v>145</v>
      </c>
      <c r="D207" s="11" t="s">
        <v>178</v>
      </c>
      <c r="E207" s="12" t="s">
        <v>92</v>
      </c>
      <c r="F207" s="37" t="s">
        <v>315</v>
      </c>
      <c r="G207" s="34"/>
      <c r="H207" s="55"/>
      <c r="I207" s="55"/>
      <c r="J207" s="56"/>
      <c r="K207" s="55"/>
      <c r="L207" s="55"/>
      <c r="M207" s="207">
        <f>M208+M209</f>
        <v>2460.1000000000004</v>
      </c>
      <c r="N207" s="207">
        <f>N208+N209</f>
        <v>2387.1000000000004</v>
      </c>
      <c r="O207" s="262">
        <f t="shared" si="24"/>
        <v>97.03264094955489</v>
      </c>
      <c r="P207" s="146"/>
    </row>
    <row r="208" spans="1:16" ht="14.25">
      <c r="A208" s="6" t="s">
        <v>210</v>
      </c>
      <c r="B208" s="12" t="s">
        <v>166</v>
      </c>
      <c r="C208" s="11" t="s">
        <v>145</v>
      </c>
      <c r="D208" s="11" t="s">
        <v>178</v>
      </c>
      <c r="E208" s="12" t="s">
        <v>92</v>
      </c>
      <c r="F208" s="37" t="s">
        <v>315</v>
      </c>
      <c r="G208" s="157">
        <v>1</v>
      </c>
      <c r="H208" s="55">
        <f>'проект бюджета 2013'!H351</f>
        <v>1425.6</v>
      </c>
      <c r="I208" s="55">
        <f>'проект бюджета 2013'!I351</f>
        <v>0</v>
      </c>
      <c r="J208" s="56">
        <f>I208-H208</f>
        <v>-1425.6</v>
      </c>
      <c r="K208" s="55">
        <f>'проект бюджета 2013'!K351</f>
        <v>1373.7</v>
      </c>
      <c r="L208" s="55">
        <f>'проект бюджета 2013'!M351</f>
        <v>1373.7</v>
      </c>
      <c r="M208" s="207">
        <f>'проект бюджета 2013'!N351</f>
        <v>1114.3000000000002</v>
      </c>
      <c r="N208" s="207">
        <f>'проект бюджета 2013'!O351</f>
        <v>1114.3000000000002</v>
      </c>
      <c r="O208" s="262">
        <f t="shared" si="24"/>
        <v>100</v>
      </c>
      <c r="P208" s="146"/>
    </row>
    <row r="209" spans="1:16" ht="14.25">
      <c r="A209" s="51" t="s">
        <v>211</v>
      </c>
      <c r="B209" s="12"/>
      <c r="C209" s="11" t="s">
        <v>145</v>
      </c>
      <c r="D209" s="11" t="s">
        <v>178</v>
      </c>
      <c r="E209" s="12" t="s">
        <v>92</v>
      </c>
      <c r="F209" s="37" t="s">
        <v>315</v>
      </c>
      <c r="G209" s="157">
        <v>2</v>
      </c>
      <c r="H209" s="55"/>
      <c r="I209" s="55"/>
      <c r="J209" s="56"/>
      <c r="K209" s="55"/>
      <c r="L209" s="55"/>
      <c r="M209" s="207">
        <f>'проект бюджета 2013'!N352</f>
        <v>1345.8000000000002</v>
      </c>
      <c r="N209" s="207">
        <f>'проект бюджета 2013'!O352</f>
        <v>1272.8</v>
      </c>
      <c r="O209" s="262">
        <f aca="true" t="shared" si="35" ref="O209:O272">N209/M209*100</f>
        <v>94.5757170456234</v>
      </c>
      <c r="P209" s="146"/>
    </row>
    <row r="210" spans="1:16" ht="51">
      <c r="A210" s="6" t="s">
        <v>294</v>
      </c>
      <c r="B210" s="12" t="s">
        <v>166</v>
      </c>
      <c r="C210" s="11" t="s">
        <v>145</v>
      </c>
      <c r="D210" s="11" t="s">
        <v>178</v>
      </c>
      <c r="E210" s="12" t="s">
        <v>240</v>
      </c>
      <c r="F210" s="12"/>
      <c r="G210" s="34"/>
      <c r="H210" s="55">
        <f>H211</f>
        <v>56807.1</v>
      </c>
      <c r="I210" s="55">
        <f>I211</f>
        <v>83830.1</v>
      </c>
      <c r="J210" s="56">
        <f>I210-H210</f>
        <v>27023.000000000007</v>
      </c>
      <c r="K210" s="55">
        <f aca="true" t="shared" si="36" ref="K210:O211">K211</f>
        <v>83830.1</v>
      </c>
      <c r="L210" s="55">
        <f t="shared" si="36"/>
        <v>87748.9</v>
      </c>
      <c r="M210" s="207">
        <f t="shared" si="36"/>
        <v>96188.8</v>
      </c>
      <c r="N210" s="207">
        <f t="shared" si="36"/>
        <v>96261.8</v>
      </c>
      <c r="O210" s="262">
        <f t="shared" si="35"/>
        <v>100.07589241159054</v>
      </c>
      <c r="P210" s="146"/>
    </row>
    <row r="211" spans="1:16" ht="38.25">
      <c r="A211" s="154" t="s">
        <v>319</v>
      </c>
      <c r="B211" s="12" t="s">
        <v>166</v>
      </c>
      <c r="C211" s="11" t="s">
        <v>145</v>
      </c>
      <c r="D211" s="11" t="s">
        <v>178</v>
      </c>
      <c r="E211" s="12" t="s">
        <v>240</v>
      </c>
      <c r="F211" s="37" t="s">
        <v>315</v>
      </c>
      <c r="G211" s="34"/>
      <c r="H211" s="55">
        <f>H212</f>
        <v>56807.1</v>
      </c>
      <c r="I211" s="55">
        <f>I212</f>
        <v>83830.1</v>
      </c>
      <c r="J211" s="56">
        <f>I211-H211</f>
        <v>27023.000000000007</v>
      </c>
      <c r="K211" s="55">
        <f t="shared" si="36"/>
        <v>83830.1</v>
      </c>
      <c r="L211" s="55">
        <f t="shared" si="36"/>
        <v>87748.9</v>
      </c>
      <c r="M211" s="207">
        <f t="shared" si="36"/>
        <v>96188.8</v>
      </c>
      <c r="N211" s="207">
        <f t="shared" si="36"/>
        <v>96261.8</v>
      </c>
      <c r="O211" s="262">
        <f t="shared" si="35"/>
        <v>100.07589241159054</v>
      </c>
      <c r="P211" s="146"/>
    </row>
    <row r="212" spans="1:16" ht="14.25">
      <c r="A212" s="6" t="s">
        <v>211</v>
      </c>
      <c r="B212" s="12" t="s">
        <v>166</v>
      </c>
      <c r="C212" s="11" t="s">
        <v>145</v>
      </c>
      <c r="D212" s="11" t="s">
        <v>178</v>
      </c>
      <c r="E212" s="12" t="s">
        <v>240</v>
      </c>
      <c r="F212" s="37" t="s">
        <v>315</v>
      </c>
      <c r="G212" s="157">
        <v>2</v>
      </c>
      <c r="H212" s="55">
        <f>'проект бюджета 2013'!H355</f>
        <v>56807.1</v>
      </c>
      <c r="I212" s="55">
        <f>'проект бюджета 2013'!I355</f>
        <v>83830.1</v>
      </c>
      <c r="J212" s="56">
        <f>I212-H212</f>
        <v>27023.000000000007</v>
      </c>
      <c r="K212" s="55">
        <f>'проект бюджета 2013'!K355</f>
        <v>83830.1</v>
      </c>
      <c r="L212" s="55">
        <f>'проект бюджета 2013'!M355</f>
        <v>87748.9</v>
      </c>
      <c r="M212" s="207">
        <f>'проект бюджета 2013'!N355</f>
        <v>96188.8</v>
      </c>
      <c r="N212" s="207">
        <f>'проект бюджета 2013'!O355</f>
        <v>96261.8</v>
      </c>
      <c r="O212" s="262">
        <f t="shared" si="35"/>
        <v>100.07589241159054</v>
      </c>
      <c r="P212" s="146"/>
    </row>
    <row r="213" spans="1:16" ht="66.75" customHeight="1">
      <c r="A213" s="6" t="s">
        <v>353</v>
      </c>
      <c r="B213" s="12"/>
      <c r="C213" s="11" t="s">
        <v>145</v>
      </c>
      <c r="D213" s="11" t="s">
        <v>178</v>
      </c>
      <c r="E213" s="37" t="s">
        <v>354</v>
      </c>
      <c r="F213" s="37"/>
      <c r="G213" s="34"/>
      <c r="H213" s="55"/>
      <c r="I213" s="55"/>
      <c r="J213" s="56"/>
      <c r="K213" s="55"/>
      <c r="L213" s="55">
        <f aca="true" t="shared" si="37" ref="L213:O214">L214</f>
        <v>456</v>
      </c>
      <c r="M213" s="207">
        <f t="shared" si="37"/>
        <v>0</v>
      </c>
      <c r="N213" s="207">
        <f t="shared" si="37"/>
        <v>0</v>
      </c>
      <c r="O213" s="262"/>
      <c r="P213" s="146"/>
    </row>
    <row r="214" spans="1:16" ht="53.25" customHeight="1">
      <c r="A214" s="154" t="s">
        <v>319</v>
      </c>
      <c r="B214" s="12"/>
      <c r="C214" s="11" t="s">
        <v>145</v>
      </c>
      <c r="D214" s="11" t="s">
        <v>178</v>
      </c>
      <c r="E214" s="37" t="s">
        <v>354</v>
      </c>
      <c r="F214" s="37" t="s">
        <v>315</v>
      </c>
      <c r="G214" s="34"/>
      <c r="H214" s="55"/>
      <c r="I214" s="55"/>
      <c r="J214" s="56"/>
      <c r="K214" s="55"/>
      <c r="L214" s="55">
        <f t="shared" si="37"/>
        <v>456</v>
      </c>
      <c r="M214" s="207">
        <f t="shared" si="37"/>
        <v>0</v>
      </c>
      <c r="N214" s="207">
        <f t="shared" si="37"/>
        <v>0</v>
      </c>
      <c r="O214" s="262"/>
      <c r="P214" s="146"/>
    </row>
    <row r="215" spans="1:16" ht="14.25">
      <c r="A215" s="6" t="s">
        <v>211</v>
      </c>
      <c r="B215" s="12"/>
      <c r="C215" s="11" t="s">
        <v>145</v>
      </c>
      <c r="D215" s="11" t="s">
        <v>178</v>
      </c>
      <c r="E215" s="37" t="s">
        <v>354</v>
      </c>
      <c r="F215" s="37" t="s">
        <v>315</v>
      </c>
      <c r="G215" s="157">
        <v>2</v>
      </c>
      <c r="H215" s="55"/>
      <c r="I215" s="55"/>
      <c r="J215" s="56"/>
      <c r="K215" s="55"/>
      <c r="L215" s="55">
        <f>'проект бюджета 2013'!M358</f>
        <v>456</v>
      </c>
      <c r="M215" s="207">
        <f>'проект бюджета 2013'!N358</f>
        <v>0</v>
      </c>
      <c r="N215" s="207">
        <f>'проект бюджета 2013'!O358</f>
        <v>0</v>
      </c>
      <c r="O215" s="262"/>
      <c r="P215" s="146"/>
    </row>
    <row r="216" spans="1:16" ht="63.75">
      <c r="A216" s="6" t="s">
        <v>242</v>
      </c>
      <c r="B216" s="6"/>
      <c r="C216" s="11" t="s">
        <v>145</v>
      </c>
      <c r="D216" s="11" t="s">
        <v>178</v>
      </c>
      <c r="E216" s="12" t="s">
        <v>196</v>
      </c>
      <c r="F216" s="12"/>
      <c r="G216" s="34"/>
      <c r="H216" s="55">
        <f>H217</f>
        <v>3478.2</v>
      </c>
      <c r="I216" s="55">
        <f>I217</f>
        <v>2488</v>
      </c>
      <c r="J216" s="56">
        <f>I216-H216</f>
        <v>-990.1999999999998</v>
      </c>
      <c r="K216" s="55">
        <f aca="true" t="shared" si="38" ref="K216:O217">K217</f>
        <v>2488</v>
      </c>
      <c r="L216" s="55">
        <f t="shared" si="38"/>
        <v>2540.5</v>
      </c>
      <c r="M216" s="207">
        <f t="shared" si="38"/>
        <v>3540.8</v>
      </c>
      <c r="N216" s="207">
        <f t="shared" si="38"/>
        <v>3540.8</v>
      </c>
      <c r="O216" s="262">
        <f t="shared" si="35"/>
        <v>100</v>
      </c>
      <c r="P216" s="146"/>
    </row>
    <row r="217" spans="1:16" ht="38.25">
      <c r="A217" s="154" t="s">
        <v>319</v>
      </c>
      <c r="B217" s="6"/>
      <c r="C217" s="11" t="s">
        <v>145</v>
      </c>
      <c r="D217" s="11" t="s">
        <v>178</v>
      </c>
      <c r="E217" s="12" t="s">
        <v>196</v>
      </c>
      <c r="F217" s="37" t="s">
        <v>315</v>
      </c>
      <c r="G217" s="34"/>
      <c r="H217" s="55">
        <f>H218</f>
        <v>3478.2</v>
      </c>
      <c r="I217" s="55">
        <f>I218</f>
        <v>2488</v>
      </c>
      <c r="J217" s="56">
        <f>I217-H217</f>
        <v>-990.1999999999998</v>
      </c>
      <c r="K217" s="55">
        <f t="shared" si="38"/>
        <v>2488</v>
      </c>
      <c r="L217" s="55">
        <f t="shared" si="38"/>
        <v>2540.5</v>
      </c>
      <c r="M217" s="207">
        <f t="shared" si="38"/>
        <v>3540.8</v>
      </c>
      <c r="N217" s="207">
        <f t="shared" si="38"/>
        <v>3540.8</v>
      </c>
      <c r="O217" s="262">
        <f t="shared" si="35"/>
        <v>100</v>
      </c>
      <c r="P217" s="146"/>
    </row>
    <row r="218" spans="1:16" ht="14.25">
      <c r="A218" s="6" t="s">
        <v>211</v>
      </c>
      <c r="B218" s="6"/>
      <c r="C218" s="11" t="s">
        <v>145</v>
      </c>
      <c r="D218" s="11" t="s">
        <v>178</v>
      </c>
      <c r="E218" s="12" t="s">
        <v>196</v>
      </c>
      <c r="F218" s="37" t="s">
        <v>315</v>
      </c>
      <c r="G218" s="157">
        <v>2</v>
      </c>
      <c r="H218" s="55">
        <f>'проект бюджета 2013'!H361</f>
        <v>3478.2</v>
      </c>
      <c r="I218" s="55">
        <f>'проект бюджета 2013'!I361</f>
        <v>2488</v>
      </c>
      <c r="J218" s="56">
        <f>I218-H218</f>
        <v>-990.1999999999998</v>
      </c>
      <c r="K218" s="55">
        <f>'проект бюджета 2013'!K361</f>
        <v>2488</v>
      </c>
      <c r="L218" s="55">
        <f>'проект бюджета 2013'!M361</f>
        <v>2540.5</v>
      </c>
      <c r="M218" s="207">
        <f>'проект бюджета 2013'!N361</f>
        <v>3540.8</v>
      </c>
      <c r="N218" s="207">
        <f>'проект бюджета 2013'!O361</f>
        <v>3540.8</v>
      </c>
      <c r="O218" s="262">
        <f t="shared" si="35"/>
        <v>100</v>
      </c>
      <c r="P218" s="146"/>
    </row>
    <row r="219" spans="1:16" ht="30" customHeight="1">
      <c r="A219" s="105" t="s">
        <v>377</v>
      </c>
      <c r="B219" s="6"/>
      <c r="C219" s="11" t="s">
        <v>145</v>
      </c>
      <c r="D219" s="11" t="s">
        <v>178</v>
      </c>
      <c r="E219" s="12" t="s">
        <v>161</v>
      </c>
      <c r="F219" s="37"/>
      <c r="G219" s="34"/>
      <c r="H219" s="55"/>
      <c r="I219" s="55"/>
      <c r="J219" s="56"/>
      <c r="K219" s="55"/>
      <c r="L219" s="55">
        <f aca="true" t="shared" si="39" ref="L219:O220">L220</f>
        <v>0</v>
      </c>
      <c r="M219" s="207">
        <f t="shared" si="39"/>
        <v>801.6</v>
      </c>
      <c r="N219" s="207">
        <f t="shared" si="39"/>
        <v>801.6</v>
      </c>
      <c r="O219" s="262">
        <f t="shared" si="35"/>
        <v>100</v>
      </c>
      <c r="P219" s="146"/>
    </row>
    <row r="220" spans="1:16" ht="14.25" customHeight="1">
      <c r="A220" s="154" t="s">
        <v>318</v>
      </c>
      <c r="B220" s="6"/>
      <c r="C220" s="11" t="s">
        <v>145</v>
      </c>
      <c r="D220" s="11" t="s">
        <v>178</v>
      </c>
      <c r="E220" s="12" t="s">
        <v>161</v>
      </c>
      <c r="F220" s="37" t="s">
        <v>316</v>
      </c>
      <c r="G220" s="157"/>
      <c r="H220" s="55"/>
      <c r="I220" s="55"/>
      <c r="J220" s="56"/>
      <c r="K220" s="55"/>
      <c r="L220" s="55">
        <f t="shared" si="39"/>
        <v>0</v>
      </c>
      <c r="M220" s="207">
        <f t="shared" si="39"/>
        <v>801.6</v>
      </c>
      <c r="N220" s="207">
        <f t="shared" si="39"/>
        <v>801.6</v>
      </c>
      <c r="O220" s="262">
        <f t="shared" si="35"/>
        <v>100</v>
      </c>
      <c r="P220" s="146"/>
    </row>
    <row r="221" spans="1:16" ht="14.25">
      <c r="A221" s="6" t="s">
        <v>211</v>
      </c>
      <c r="B221" s="6"/>
      <c r="C221" s="11" t="s">
        <v>145</v>
      </c>
      <c r="D221" s="11" t="s">
        <v>178</v>
      </c>
      <c r="E221" s="12" t="s">
        <v>161</v>
      </c>
      <c r="F221" s="37" t="s">
        <v>316</v>
      </c>
      <c r="G221" s="157">
        <v>2</v>
      </c>
      <c r="H221" s="55"/>
      <c r="I221" s="55"/>
      <c r="J221" s="56"/>
      <c r="K221" s="55"/>
      <c r="L221" s="55">
        <f>'проект бюджета 2013'!M371</f>
        <v>0</v>
      </c>
      <c r="M221" s="207">
        <f>'проект бюджета 2013'!N371+'проект бюджета 2013'!N465</f>
        <v>801.6</v>
      </c>
      <c r="N221" s="207">
        <f>'проект бюджета 2013'!O371+'проект бюджета 2013'!O465</f>
        <v>801.6</v>
      </c>
      <c r="O221" s="262">
        <f t="shared" si="35"/>
        <v>100</v>
      </c>
      <c r="P221" s="146"/>
    </row>
    <row r="222" spans="1:16" ht="15">
      <c r="A222" s="120" t="s">
        <v>101</v>
      </c>
      <c r="B222" s="6"/>
      <c r="C222" s="11" t="s">
        <v>145</v>
      </c>
      <c r="D222" s="11" t="s">
        <v>178</v>
      </c>
      <c r="E222" s="37" t="s">
        <v>102</v>
      </c>
      <c r="F222" s="13"/>
      <c r="G222" s="34"/>
      <c r="H222" s="55"/>
      <c r="I222" s="55"/>
      <c r="J222" s="56"/>
      <c r="K222" s="55"/>
      <c r="L222" s="55"/>
      <c r="M222" s="207">
        <f>M223+M226</f>
        <v>396.75513</v>
      </c>
      <c r="N222" s="207">
        <f>N223+N226</f>
        <v>396.75513</v>
      </c>
      <c r="O222" s="262">
        <f t="shared" si="35"/>
        <v>100</v>
      </c>
      <c r="P222" s="146"/>
    </row>
    <row r="223" spans="1:16" ht="25.5">
      <c r="A223" s="145" t="s">
        <v>387</v>
      </c>
      <c r="B223" s="6"/>
      <c r="C223" s="11" t="s">
        <v>145</v>
      </c>
      <c r="D223" s="11" t="s">
        <v>178</v>
      </c>
      <c r="E223" s="37" t="s">
        <v>386</v>
      </c>
      <c r="F223" s="13"/>
      <c r="G223" s="34"/>
      <c r="H223" s="55"/>
      <c r="I223" s="55"/>
      <c r="J223" s="56"/>
      <c r="K223" s="55"/>
      <c r="L223" s="55"/>
      <c r="M223" s="207">
        <f aca="true" t="shared" si="40" ref="M223:O224">M224</f>
        <v>346</v>
      </c>
      <c r="N223" s="207">
        <f t="shared" si="40"/>
        <v>346</v>
      </c>
      <c r="O223" s="262">
        <f t="shared" si="35"/>
        <v>100</v>
      </c>
      <c r="P223" s="146"/>
    </row>
    <row r="224" spans="1:16" ht="14.25">
      <c r="A224" s="154" t="s">
        <v>318</v>
      </c>
      <c r="B224" s="6"/>
      <c r="C224" s="11" t="s">
        <v>145</v>
      </c>
      <c r="D224" s="11" t="s">
        <v>178</v>
      </c>
      <c r="E224" s="37" t="s">
        <v>386</v>
      </c>
      <c r="F224" s="13" t="s">
        <v>316</v>
      </c>
      <c r="G224" s="157"/>
      <c r="H224" s="55"/>
      <c r="I224" s="55"/>
      <c r="J224" s="56"/>
      <c r="K224" s="55"/>
      <c r="L224" s="55"/>
      <c r="M224" s="207">
        <f t="shared" si="40"/>
        <v>346</v>
      </c>
      <c r="N224" s="207">
        <f t="shared" si="40"/>
        <v>346</v>
      </c>
      <c r="O224" s="262">
        <f t="shared" si="35"/>
        <v>100</v>
      </c>
      <c r="P224" s="146"/>
    </row>
    <row r="225" spans="1:16" ht="14.25">
      <c r="A225" s="6" t="s">
        <v>211</v>
      </c>
      <c r="B225" s="6"/>
      <c r="C225" s="11" t="s">
        <v>145</v>
      </c>
      <c r="D225" s="11" t="s">
        <v>178</v>
      </c>
      <c r="E225" s="37" t="s">
        <v>386</v>
      </c>
      <c r="F225" s="13" t="s">
        <v>316</v>
      </c>
      <c r="G225" s="157">
        <v>2</v>
      </c>
      <c r="H225" s="55"/>
      <c r="I225" s="55"/>
      <c r="J225" s="56"/>
      <c r="K225" s="55"/>
      <c r="L225" s="55"/>
      <c r="M225" s="207">
        <f>'проект бюджета 2013'!N365</f>
        <v>346</v>
      </c>
      <c r="N225" s="207">
        <f>'проект бюджета 2013'!O365</f>
        <v>346</v>
      </c>
      <c r="O225" s="262">
        <f t="shared" si="35"/>
        <v>100</v>
      </c>
      <c r="P225" s="146"/>
    </row>
    <row r="226" spans="1:16" ht="14.25">
      <c r="A226" s="5" t="s">
        <v>104</v>
      </c>
      <c r="B226" s="6"/>
      <c r="C226" s="11" t="s">
        <v>145</v>
      </c>
      <c r="D226" s="11" t="s">
        <v>178</v>
      </c>
      <c r="E226" s="12" t="s">
        <v>103</v>
      </c>
      <c r="F226" s="13"/>
      <c r="G226" s="34"/>
      <c r="H226" s="55"/>
      <c r="I226" s="55"/>
      <c r="J226" s="56"/>
      <c r="K226" s="55"/>
      <c r="L226" s="55"/>
      <c r="M226" s="207">
        <f aca="true" t="shared" si="41" ref="M226:O227">M227</f>
        <v>50.755129999999994</v>
      </c>
      <c r="N226" s="207">
        <f t="shared" si="41"/>
        <v>50.755129999999994</v>
      </c>
      <c r="O226" s="262">
        <f t="shared" si="35"/>
        <v>100</v>
      </c>
      <c r="P226" s="146"/>
    </row>
    <row r="227" spans="1:16" ht="14.25">
      <c r="A227" s="154" t="s">
        <v>318</v>
      </c>
      <c r="B227" s="6"/>
      <c r="C227" s="11" t="s">
        <v>145</v>
      </c>
      <c r="D227" s="11" t="s">
        <v>178</v>
      </c>
      <c r="E227" s="12" t="s">
        <v>103</v>
      </c>
      <c r="F227" s="13" t="s">
        <v>316</v>
      </c>
      <c r="G227" s="157"/>
      <c r="H227" s="55"/>
      <c r="I227" s="55"/>
      <c r="J227" s="56"/>
      <c r="K227" s="55"/>
      <c r="L227" s="55"/>
      <c r="M227" s="207">
        <f t="shared" si="41"/>
        <v>50.755129999999994</v>
      </c>
      <c r="N227" s="207">
        <f t="shared" si="41"/>
        <v>50.755129999999994</v>
      </c>
      <c r="O227" s="262">
        <f t="shared" si="35"/>
        <v>100</v>
      </c>
      <c r="P227" s="146"/>
    </row>
    <row r="228" spans="1:16" ht="14.25">
      <c r="A228" s="6" t="s">
        <v>209</v>
      </c>
      <c r="B228" s="6"/>
      <c r="C228" s="11" t="s">
        <v>145</v>
      </c>
      <c r="D228" s="11" t="s">
        <v>178</v>
      </c>
      <c r="E228" s="12" t="s">
        <v>103</v>
      </c>
      <c r="F228" s="13" t="s">
        <v>316</v>
      </c>
      <c r="G228" s="157">
        <v>3</v>
      </c>
      <c r="H228" s="55"/>
      <c r="I228" s="55"/>
      <c r="J228" s="56"/>
      <c r="K228" s="55"/>
      <c r="L228" s="55"/>
      <c r="M228" s="207">
        <f>'проект бюджета 2013'!N368</f>
        <v>50.755129999999994</v>
      </c>
      <c r="N228" s="207">
        <f>'проект бюджета 2013'!O368</f>
        <v>50.755129999999994</v>
      </c>
      <c r="O228" s="262">
        <f t="shared" si="35"/>
        <v>100</v>
      </c>
      <c r="P228" s="146"/>
    </row>
    <row r="229" spans="1:16" ht="30.75" customHeight="1">
      <c r="A229" s="5" t="s">
        <v>162</v>
      </c>
      <c r="B229" s="6"/>
      <c r="C229" s="11" t="s">
        <v>145</v>
      </c>
      <c r="D229" s="11" t="s">
        <v>178</v>
      </c>
      <c r="E229" s="12" t="s">
        <v>241</v>
      </c>
      <c r="F229" s="13"/>
      <c r="G229" s="34"/>
      <c r="H229" s="55"/>
      <c r="I229" s="55"/>
      <c r="J229" s="56"/>
      <c r="K229" s="55"/>
      <c r="L229" s="55">
        <f aca="true" t="shared" si="42" ref="L229:O230">L230</f>
        <v>0</v>
      </c>
      <c r="M229" s="207">
        <f t="shared" si="42"/>
        <v>141.11</v>
      </c>
      <c r="N229" s="207">
        <f t="shared" si="42"/>
        <v>141.11</v>
      </c>
      <c r="O229" s="262">
        <f t="shared" si="35"/>
        <v>100</v>
      </c>
      <c r="P229" s="146"/>
    </row>
    <row r="230" spans="1:16" ht="15.75" customHeight="1">
      <c r="A230" s="154" t="s">
        <v>318</v>
      </c>
      <c r="B230" s="6"/>
      <c r="C230" s="11" t="s">
        <v>145</v>
      </c>
      <c r="D230" s="11" t="s">
        <v>178</v>
      </c>
      <c r="E230" s="12" t="s">
        <v>241</v>
      </c>
      <c r="F230" s="13" t="s">
        <v>316</v>
      </c>
      <c r="G230" s="157"/>
      <c r="H230" s="55"/>
      <c r="I230" s="55"/>
      <c r="J230" s="56"/>
      <c r="K230" s="55"/>
      <c r="L230" s="55">
        <f t="shared" si="42"/>
        <v>0</v>
      </c>
      <c r="M230" s="207">
        <f t="shared" si="42"/>
        <v>141.11</v>
      </c>
      <c r="N230" s="207">
        <f t="shared" si="42"/>
        <v>141.11</v>
      </c>
      <c r="O230" s="262">
        <f t="shared" si="35"/>
        <v>100</v>
      </c>
      <c r="P230" s="146"/>
    </row>
    <row r="231" spans="1:16" ht="14.25">
      <c r="A231" s="6" t="s">
        <v>209</v>
      </c>
      <c r="B231" s="6"/>
      <c r="C231" s="11" t="s">
        <v>145</v>
      </c>
      <c r="D231" s="11" t="s">
        <v>178</v>
      </c>
      <c r="E231" s="12" t="s">
        <v>241</v>
      </c>
      <c r="F231" s="13" t="s">
        <v>316</v>
      </c>
      <c r="G231" s="157">
        <v>3</v>
      </c>
      <c r="H231" s="55"/>
      <c r="I231" s="55"/>
      <c r="J231" s="56"/>
      <c r="K231" s="55"/>
      <c r="L231" s="55">
        <f>'проект бюджета 2013'!M374</f>
        <v>0</v>
      </c>
      <c r="M231" s="207">
        <f>'проект бюджета 2013'!N374+'проект бюджета 2013'!N468</f>
        <v>141.11</v>
      </c>
      <c r="N231" s="207">
        <f>'проект бюджета 2013'!O374+'проект бюджета 2013'!O468</f>
        <v>141.11</v>
      </c>
      <c r="O231" s="262">
        <f t="shared" si="35"/>
        <v>100</v>
      </c>
      <c r="P231" s="146"/>
    </row>
    <row r="232" spans="1:16" ht="14.25">
      <c r="A232" s="4" t="s">
        <v>67</v>
      </c>
      <c r="B232" s="4"/>
      <c r="C232" s="11" t="s">
        <v>145</v>
      </c>
      <c r="D232" s="11" t="s">
        <v>173</v>
      </c>
      <c r="E232" s="11">
        <v>0</v>
      </c>
      <c r="F232" s="11"/>
      <c r="G232" s="11"/>
      <c r="H232" s="55" t="e">
        <f>H237+#REF!</f>
        <v>#REF!</v>
      </c>
      <c r="I232" s="55" t="e">
        <f>I237+#REF!+I234</f>
        <v>#REF!</v>
      </c>
      <c r="J232" s="56" t="e">
        <f>I232-H232</f>
        <v>#REF!</v>
      </c>
      <c r="K232" s="55" t="e">
        <f>K237+#REF!+K234</f>
        <v>#REF!</v>
      </c>
      <c r="L232" s="55" t="e">
        <f>L237+L233</f>
        <v>#REF!</v>
      </c>
      <c r="M232" s="207">
        <f>M237+M233</f>
        <v>1434.5</v>
      </c>
      <c r="N232" s="207">
        <f>N237+N233</f>
        <v>1431.87</v>
      </c>
      <c r="O232" s="262">
        <f t="shared" si="35"/>
        <v>99.8166608574416</v>
      </c>
      <c r="P232" s="146"/>
    </row>
    <row r="233" spans="1:16" ht="25.5">
      <c r="A233" s="105" t="s">
        <v>7</v>
      </c>
      <c r="B233" s="5"/>
      <c r="C233" s="12" t="s">
        <v>145</v>
      </c>
      <c r="D233" s="12" t="s">
        <v>173</v>
      </c>
      <c r="E233" s="12" t="s">
        <v>87</v>
      </c>
      <c r="F233" s="12"/>
      <c r="G233" s="12"/>
      <c r="H233" s="72"/>
      <c r="I233" s="72"/>
      <c r="J233" s="56"/>
      <c r="K233" s="72"/>
      <c r="L233" s="72" t="e">
        <f>L234+L241</f>
        <v>#REF!</v>
      </c>
      <c r="M233" s="228">
        <f aca="true" t="shared" si="43" ref="M233:O235">M234</f>
        <v>98.4</v>
      </c>
      <c r="N233" s="228">
        <f t="shared" si="43"/>
        <v>96.37</v>
      </c>
      <c r="O233" s="262">
        <f t="shared" si="35"/>
        <v>97.9369918699187</v>
      </c>
      <c r="P233" s="146"/>
    </row>
    <row r="234" spans="1:16" ht="25.5">
      <c r="A234" s="105" t="s">
        <v>320</v>
      </c>
      <c r="B234" s="3"/>
      <c r="C234" s="11" t="s">
        <v>145</v>
      </c>
      <c r="D234" s="11" t="s">
        <v>173</v>
      </c>
      <c r="E234" s="11" t="s">
        <v>243</v>
      </c>
      <c r="F234" s="11"/>
      <c r="G234" s="34"/>
      <c r="H234" s="72" t="e">
        <f>#REF!</f>
        <v>#REF!</v>
      </c>
      <c r="I234" s="72" t="e">
        <f>#REF!</f>
        <v>#REF!</v>
      </c>
      <c r="J234" s="56" t="e">
        <f>I234-H234</f>
        <v>#REF!</v>
      </c>
      <c r="K234" s="72" t="e">
        <f>#REF!</f>
        <v>#REF!</v>
      </c>
      <c r="L234" s="72" t="e">
        <f>#REF!+L235</f>
        <v>#REF!</v>
      </c>
      <c r="M234" s="228">
        <f t="shared" si="43"/>
        <v>98.4</v>
      </c>
      <c r="N234" s="228">
        <f t="shared" si="43"/>
        <v>96.37</v>
      </c>
      <c r="O234" s="262">
        <f t="shared" si="35"/>
        <v>97.9369918699187</v>
      </c>
      <c r="P234" s="146"/>
    </row>
    <row r="235" spans="1:16" ht="25.5">
      <c r="A235" s="6" t="s">
        <v>348</v>
      </c>
      <c r="B235" s="3"/>
      <c r="C235" s="11" t="s">
        <v>145</v>
      </c>
      <c r="D235" s="11" t="s">
        <v>173</v>
      </c>
      <c r="E235" s="11" t="s">
        <v>243</v>
      </c>
      <c r="F235" s="110" t="s">
        <v>347</v>
      </c>
      <c r="G235" s="34"/>
      <c r="H235" s="72"/>
      <c r="I235" s="72"/>
      <c r="J235" s="56"/>
      <c r="K235" s="72"/>
      <c r="L235" s="72">
        <f>L236</f>
        <v>88.6</v>
      </c>
      <c r="M235" s="228">
        <f t="shared" si="43"/>
        <v>98.4</v>
      </c>
      <c r="N235" s="228">
        <f t="shared" si="43"/>
        <v>96.37</v>
      </c>
      <c r="O235" s="262">
        <f t="shared" si="35"/>
        <v>97.9369918699187</v>
      </c>
      <c r="P235" s="146"/>
    </row>
    <row r="236" spans="1:16" ht="14.25">
      <c r="A236" s="6" t="s">
        <v>211</v>
      </c>
      <c r="B236" s="3"/>
      <c r="C236" s="11" t="s">
        <v>145</v>
      </c>
      <c r="D236" s="11" t="s">
        <v>173</v>
      </c>
      <c r="E236" s="11" t="s">
        <v>243</v>
      </c>
      <c r="F236" s="110" t="s">
        <v>347</v>
      </c>
      <c r="G236" s="157">
        <v>2</v>
      </c>
      <c r="H236" s="72"/>
      <c r="I236" s="72"/>
      <c r="J236" s="56"/>
      <c r="K236" s="72"/>
      <c r="L236" s="72">
        <f>'проект бюджета 2013'!M379</f>
        <v>88.6</v>
      </c>
      <c r="M236" s="228">
        <f>'проект бюджета 2013'!N379</f>
        <v>98.4</v>
      </c>
      <c r="N236" s="228">
        <f>'проект бюджета 2013'!O379</f>
        <v>96.37</v>
      </c>
      <c r="O236" s="262">
        <f t="shared" si="35"/>
        <v>97.9369918699187</v>
      </c>
      <c r="P236" s="146"/>
    </row>
    <row r="237" spans="1:16" ht="14.25">
      <c r="A237" s="6" t="s">
        <v>221</v>
      </c>
      <c r="B237" s="5"/>
      <c r="C237" s="12" t="s">
        <v>145</v>
      </c>
      <c r="D237" s="12" t="s">
        <v>173</v>
      </c>
      <c r="E237" s="37" t="s">
        <v>156</v>
      </c>
      <c r="F237" s="11"/>
      <c r="G237" s="11"/>
      <c r="H237" s="55">
        <f>H238</f>
        <v>100</v>
      </c>
      <c r="I237" s="55">
        <f>I238</f>
        <v>100</v>
      </c>
      <c r="J237" s="56">
        <f>I237-H237</f>
        <v>0</v>
      </c>
      <c r="K237" s="55">
        <f aca="true" t="shared" si="44" ref="K237:O238">K238</f>
        <v>100</v>
      </c>
      <c r="L237" s="55">
        <f t="shared" si="44"/>
        <v>100</v>
      </c>
      <c r="M237" s="207">
        <f>M238+M241</f>
        <v>1336.1</v>
      </c>
      <c r="N237" s="207">
        <f>N238+N241</f>
        <v>1335.5</v>
      </c>
      <c r="O237" s="262">
        <f t="shared" si="35"/>
        <v>99.9550931816481</v>
      </c>
      <c r="P237" s="146"/>
    </row>
    <row r="238" spans="1:16" ht="25.5">
      <c r="A238" s="109" t="s">
        <v>400</v>
      </c>
      <c r="B238" s="6"/>
      <c r="C238" s="12" t="s">
        <v>145</v>
      </c>
      <c r="D238" s="12" t="s">
        <v>173</v>
      </c>
      <c r="E238" s="37" t="s">
        <v>412</v>
      </c>
      <c r="F238" s="11"/>
      <c r="G238" s="11"/>
      <c r="H238" s="55">
        <f>H239</f>
        <v>100</v>
      </c>
      <c r="I238" s="55">
        <f>I239</f>
        <v>100</v>
      </c>
      <c r="J238" s="56">
        <f>I238-H238</f>
        <v>0</v>
      </c>
      <c r="K238" s="55">
        <f t="shared" si="44"/>
        <v>100</v>
      </c>
      <c r="L238" s="55">
        <f t="shared" si="44"/>
        <v>100</v>
      </c>
      <c r="M238" s="207">
        <f t="shared" si="44"/>
        <v>100</v>
      </c>
      <c r="N238" s="207">
        <f t="shared" si="44"/>
        <v>100</v>
      </c>
      <c r="O238" s="262">
        <f t="shared" si="35"/>
        <v>100</v>
      </c>
      <c r="P238" s="146"/>
    </row>
    <row r="239" spans="1:16" ht="27" customHeight="1">
      <c r="A239" s="6" t="s">
        <v>97</v>
      </c>
      <c r="B239" s="6"/>
      <c r="C239" s="12" t="s">
        <v>145</v>
      </c>
      <c r="D239" s="12" t="s">
        <v>173</v>
      </c>
      <c r="E239" s="13" t="s">
        <v>412</v>
      </c>
      <c r="F239" s="115" t="s">
        <v>323</v>
      </c>
      <c r="G239" s="13"/>
      <c r="H239" s="55">
        <f>'проект бюджета 2013'!H159</f>
        <v>100</v>
      </c>
      <c r="I239" s="55">
        <f>'проект бюджета 2013'!I159</f>
        <v>100</v>
      </c>
      <c r="J239" s="56">
        <f>I239-H239</f>
        <v>0</v>
      </c>
      <c r="K239" s="55">
        <f>'проект бюджета 2013'!K159</f>
        <v>100</v>
      </c>
      <c r="L239" s="55">
        <f>'проект бюджета 2013'!M159</f>
        <v>100</v>
      </c>
      <c r="M239" s="207">
        <f>'проект бюджета 2013'!N159</f>
        <v>100</v>
      </c>
      <c r="N239" s="207">
        <f>'проект бюджета 2013'!O159</f>
        <v>100</v>
      </c>
      <c r="O239" s="262">
        <f t="shared" si="35"/>
        <v>100</v>
      </c>
      <c r="P239" s="146"/>
    </row>
    <row r="240" spans="1:16" ht="20.25" customHeight="1">
      <c r="A240" s="6" t="s">
        <v>209</v>
      </c>
      <c r="B240" s="3"/>
      <c r="C240" s="12" t="s">
        <v>145</v>
      </c>
      <c r="D240" s="12" t="s">
        <v>173</v>
      </c>
      <c r="E240" s="13" t="s">
        <v>412</v>
      </c>
      <c r="F240" s="115" t="s">
        <v>323</v>
      </c>
      <c r="G240" s="156" t="s">
        <v>212</v>
      </c>
      <c r="H240" s="72">
        <f>'проект бюджета 2013'!H160</f>
        <v>100</v>
      </c>
      <c r="I240" s="72">
        <f>'проект бюджета 2013'!I160</f>
        <v>100</v>
      </c>
      <c r="J240" s="56">
        <f>I240-H240</f>
        <v>0</v>
      </c>
      <c r="K240" s="72">
        <f>'проект бюджета 2013'!K160</f>
        <v>100</v>
      </c>
      <c r="L240" s="72">
        <f>'проект бюджета 2013'!M160</f>
        <v>100</v>
      </c>
      <c r="M240" s="228">
        <f>'проект бюджета 2013'!N160</f>
        <v>100</v>
      </c>
      <c r="N240" s="228">
        <f>'проект бюджета 2013'!O160</f>
        <v>100</v>
      </c>
      <c r="O240" s="262">
        <f t="shared" si="35"/>
        <v>100</v>
      </c>
      <c r="P240" s="146"/>
    </row>
    <row r="241" spans="1:16" ht="25.5">
      <c r="A241" s="105" t="s">
        <v>401</v>
      </c>
      <c r="B241" s="5"/>
      <c r="C241" s="12" t="s">
        <v>145</v>
      </c>
      <c r="D241" s="12" t="s">
        <v>173</v>
      </c>
      <c r="E241" s="37" t="s">
        <v>414</v>
      </c>
      <c r="F241" s="12"/>
      <c r="G241" s="12"/>
      <c r="H241" s="55" t="e">
        <f>#REF!</f>
        <v>#REF!</v>
      </c>
      <c r="I241" s="55" t="e">
        <f>#REF!</f>
        <v>#REF!</v>
      </c>
      <c r="J241" s="56" t="e">
        <f>I241-H241</f>
        <v>#REF!</v>
      </c>
      <c r="K241" s="55" t="e">
        <f>#REF!</f>
        <v>#REF!</v>
      </c>
      <c r="L241" s="55" t="e">
        <f>#REF!+L242+L244</f>
        <v>#REF!</v>
      </c>
      <c r="M241" s="207">
        <f>M242+M244</f>
        <v>1236.1</v>
      </c>
      <c r="N241" s="207">
        <f>N242+N244</f>
        <v>1235.5</v>
      </c>
      <c r="O241" s="262">
        <f t="shared" si="35"/>
        <v>99.95146023784484</v>
      </c>
      <c r="P241" s="146"/>
    </row>
    <row r="242" spans="1:16" ht="24.75" customHeight="1">
      <c r="A242" s="6" t="s">
        <v>348</v>
      </c>
      <c r="B242" s="3"/>
      <c r="C242" s="12" t="s">
        <v>145</v>
      </c>
      <c r="D242" s="12" t="s">
        <v>173</v>
      </c>
      <c r="E242" s="13" t="s">
        <v>414</v>
      </c>
      <c r="F242" s="110" t="s">
        <v>347</v>
      </c>
      <c r="G242" s="13"/>
      <c r="H242" s="72"/>
      <c r="I242" s="72"/>
      <c r="J242" s="56"/>
      <c r="K242" s="72"/>
      <c r="L242" s="72">
        <f>L243</f>
        <v>1028.3</v>
      </c>
      <c r="M242" s="228">
        <f>M243</f>
        <v>135</v>
      </c>
      <c r="N242" s="228">
        <f>N243</f>
        <v>134.4</v>
      </c>
      <c r="O242" s="262">
        <f t="shared" si="35"/>
        <v>99.55555555555556</v>
      </c>
      <c r="P242" s="146"/>
    </row>
    <row r="243" spans="1:16" ht="16.5" customHeight="1">
      <c r="A243" s="6" t="s">
        <v>209</v>
      </c>
      <c r="B243" s="3"/>
      <c r="C243" s="12" t="s">
        <v>145</v>
      </c>
      <c r="D243" s="12" t="s">
        <v>173</v>
      </c>
      <c r="E243" s="37" t="s">
        <v>414</v>
      </c>
      <c r="F243" s="110" t="s">
        <v>347</v>
      </c>
      <c r="G243" s="156" t="s">
        <v>212</v>
      </c>
      <c r="H243" s="72"/>
      <c r="I243" s="72"/>
      <c r="J243" s="56"/>
      <c r="K243" s="72"/>
      <c r="L243" s="72">
        <f>'проект бюджета 2013'!M383</f>
        <v>1028.3</v>
      </c>
      <c r="M243" s="228">
        <f>'проект бюджета 2013'!N383</f>
        <v>135</v>
      </c>
      <c r="N243" s="228">
        <f>'проект бюджета 2013'!O383</f>
        <v>134.4</v>
      </c>
      <c r="O243" s="262">
        <f t="shared" si="35"/>
        <v>99.55555555555556</v>
      </c>
      <c r="P243" s="146"/>
    </row>
    <row r="244" spans="1:16" ht="16.5" customHeight="1">
      <c r="A244" s="154" t="s">
        <v>318</v>
      </c>
      <c r="B244" s="3"/>
      <c r="C244" s="11" t="s">
        <v>145</v>
      </c>
      <c r="D244" s="11" t="s">
        <v>173</v>
      </c>
      <c r="E244" s="13" t="s">
        <v>414</v>
      </c>
      <c r="F244" s="11" t="s">
        <v>316</v>
      </c>
      <c r="G244" s="157"/>
      <c r="H244" s="72"/>
      <c r="I244" s="72"/>
      <c r="J244" s="56"/>
      <c r="K244" s="72"/>
      <c r="L244" s="72">
        <f>L245</f>
        <v>0</v>
      </c>
      <c r="M244" s="228">
        <f>M245</f>
        <v>1101.1</v>
      </c>
      <c r="N244" s="228">
        <f>N245</f>
        <v>1101.1</v>
      </c>
      <c r="O244" s="262">
        <f t="shared" si="35"/>
        <v>100</v>
      </c>
      <c r="P244" s="146"/>
    </row>
    <row r="245" spans="1:16" ht="16.5" customHeight="1">
      <c r="A245" s="6" t="s">
        <v>209</v>
      </c>
      <c r="B245" s="3"/>
      <c r="C245" s="11" t="s">
        <v>145</v>
      </c>
      <c r="D245" s="11" t="s">
        <v>173</v>
      </c>
      <c r="E245" s="13" t="s">
        <v>414</v>
      </c>
      <c r="F245" s="11" t="s">
        <v>316</v>
      </c>
      <c r="G245" s="157">
        <v>3</v>
      </c>
      <c r="H245" s="72"/>
      <c r="I245" s="72"/>
      <c r="J245" s="56"/>
      <c r="K245" s="72"/>
      <c r="L245" s="72">
        <f>'проект бюджета 2013'!M385</f>
        <v>0</v>
      </c>
      <c r="M245" s="228">
        <f>'проект бюджета 2013'!N385</f>
        <v>1101.1</v>
      </c>
      <c r="N245" s="228">
        <f>'проект бюджета 2013'!O385</f>
        <v>1101.1</v>
      </c>
      <c r="O245" s="262">
        <f t="shared" si="35"/>
        <v>100</v>
      </c>
      <c r="P245" s="146"/>
    </row>
    <row r="246" spans="1:16" ht="14.25">
      <c r="A246" s="4" t="s">
        <v>14</v>
      </c>
      <c r="B246" s="4"/>
      <c r="C246" s="12" t="s">
        <v>145</v>
      </c>
      <c r="D246" s="11" t="s">
        <v>179</v>
      </c>
      <c r="E246" s="11">
        <v>0</v>
      </c>
      <c r="F246" s="11"/>
      <c r="G246" s="11"/>
      <c r="H246" s="55">
        <f>H247+H266</f>
        <v>4389.4</v>
      </c>
      <c r="I246" s="55">
        <f>I247+I266+I282</f>
        <v>4253</v>
      </c>
      <c r="J246" s="56">
        <f>I246-H246</f>
        <v>-136.39999999999964</v>
      </c>
      <c r="K246" s="55" t="e">
        <f>K247+K266+K282+#REF!</f>
        <v>#REF!</v>
      </c>
      <c r="L246" s="55" t="e">
        <f>L247+L251+L266+L281+#REF!+L255+L262</f>
        <v>#REF!</v>
      </c>
      <c r="M246" s="207">
        <f>M247+M251+M266+M281+M255+M262+M293+M275</f>
        <v>14417.414999999999</v>
      </c>
      <c r="N246" s="207">
        <f>N247+N251+N266+N281+N255+N262+N293+N275</f>
        <v>14417.414019999998</v>
      </c>
      <c r="O246" s="262">
        <f t="shared" si="35"/>
        <v>99.99999320266497</v>
      </c>
      <c r="P246" s="146"/>
    </row>
    <row r="247" spans="1:16" ht="38.25">
      <c r="A247" s="5" t="s">
        <v>1</v>
      </c>
      <c r="B247" s="5"/>
      <c r="C247" s="12" t="s">
        <v>145</v>
      </c>
      <c r="D247" s="11" t="s">
        <v>179</v>
      </c>
      <c r="E247" s="12" t="s">
        <v>0</v>
      </c>
      <c r="F247" s="12"/>
      <c r="G247" s="12"/>
      <c r="H247" s="55">
        <f>H248</f>
        <v>2083</v>
      </c>
      <c r="I247" s="55">
        <f>I248</f>
        <v>1968.6</v>
      </c>
      <c r="J247" s="56">
        <f>I247-H247</f>
        <v>-114.40000000000009</v>
      </c>
      <c r="K247" s="55">
        <f aca="true" t="shared" si="45" ref="K247:O248">K248</f>
        <v>1968.6</v>
      </c>
      <c r="L247" s="55">
        <f t="shared" si="45"/>
        <v>2390.5</v>
      </c>
      <c r="M247" s="207">
        <f t="shared" si="45"/>
        <v>2330.3</v>
      </c>
      <c r="N247" s="207">
        <f t="shared" si="45"/>
        <v>2330.3</v>
      </c>
      <c r="O247" s="262">
        <f t="shared" si="35"/>
        <v>100</v>
      </c>
      <c r="P247" s="146"/>
    </row>
    <row r="248" spans="1:16" ht="14.25">
      <c r="A248" s="5" t="s">
        <v>86</v>
      </c>
      <c r="B248" s="5"/>
      <c r="C248" s="12" t="s">
        <v>145</v>
      </c>
      <c r="D248" s="11" t="s">
        <v>179</v>
      </c>
      <c r="E248" s="12" t="s">
        <v>2</v>
      </c>
      <c r="F248" s="12"/>
      <c r="G248" s="12"/>
      <c r="H248" s="55">
        <f>H249</f>
        <v>2083</v>
      </c>
      <c r="I248" s="55">
        <f>I249</f>
        <v>1968.6</v>
      </c>
      <c r="J248" s="56">
        <f>I248-H248</f>
        <v>-114.40000000000009</v>
      </c>
      <c r="K248" s="55">
        <f t="shared" si="45"/>
        <v>1968.6</v>
      </c>
      <c r="L248" s="55">
        <f t="shared" si="45"/>
        <v>2390.5</v>
      </c>
      <c r="M248" s="207">
        <f t="shared" si="45"/>
        <v>2330.3</v>
      </c>
      <c r="N248" s="207">
        <f t="shared" si="45"/>
        <v>2330.3</v>
      </c>
      <c r="O248" s="262">
        <f t="shared" si="35"/>
        <v>100</v>
      </c>
      <c r="P248" s="146"/>
    </row>
    <row r="249" spans="1:16" ht="25.5">
      <c r="A249" s="6" t="s">
        <v>97</v>
      </c>
      <c r="B249" s="6"/>
      <c r="C249" s="12" t="s">
        <v>145</v>
      </c>
      <c r="D249" s="11" t="s">
        <v>179</v>
      </c>
      <c r="E249" s="12" t="s">
        <v>2</v>
      </c>
      <c r="F249" s="115" t="s">
        <v>323</v>
      </c>
      <c r="G249" s="13"/>
      <c r="H249" s="55">
        <f>'проект бюджета 2013'!H389</f>
        <v>2083</v>
      </c>
      <c r="I249" s="55">
        <f>'проект бюджета 2013'!I389</f>
        <v>1968.6</v>
      </c>
      <c r="J249" s="56">
        <f>I249-H249</f>
        <v>-114.40000000000009</v>
      </c>
      <c r="K249" s="55">
        <f>'проект бюджета 2013'!K389</f>
        <v>1968.6</v>
      </c>
      <c r="L249" s="55">
        <f>'проект бюджета 2013'!M389</f>
        <v>2390.5</v>
      </c>
      <c r="M249" s="207">
        <f>'проект бюджета 2013'!N389</f>
        <v>2330.3</v>
      </c>
      <c r="N249" s="207">
        <f>'проект бюджета 2013'!O389</f>
        <v>2330.3</v>
      </c>
      <c r="O249" s="262">
        <f t="shared" si="35"/>
        <v>100</v>
      </c>
      <c r="P249" s="146"/>
    </row>
    <row r="250" spans="1:16" ht="14.25">
      <c r="A250" s="6" t="s">
        <v>209</v>
      </c>
      <c r="B250" s="3"/>
      <c r="C250" s="12" t="s">
        <v>145</v>
      </c>
      <c r="D250" s="11" t="s">
        <v>179</v>
      </c>
      <c r="E250" s="12" t="s">
        <v>2</v>
      </c>
      <c r="F250" s="115" t="s">
        <v>323</v>
      </c>
      <c r="G250" s="156" t="s">
        <v>212</v>
      </c>
      <c r="H250" s="72">
        <f>'проект бюджета 2013'!H390</f>
        <v>2083</v>
      </c>
      <c r="I250" s="72">
        <f>'проект бюджета 2013'!I390</f>
        <v>1968.6</v>
      </c>
      <c r="J250" s="56">
        <f>I250-H250</f>
        <v>-114.40000000000009</v>
      </c>
      <c r="K250" s="72">
        <f>'проект бюджета 2013'!K390</f>
        <v>1968.6</v>
      </c>
      <c r="L250" s="72">
        <f>'проект бюджета 2013'!M390</f>
        <v>2390.5</v>
      </c>
      <c r="M250" s="228">
        <f>'проект бюджета 2013'!N390</f>
        <v>2330.3</v>
      </c>
      <c r="N250" s="228">
        <f>'проект бюджета 2013'!O390</f>
        <v>2330.3</v>
      </c>
      <c r="O250" s="262">
        <f t="shared" si="35"/>
        <v>100</v>
      </c>
      <c r="P250" s="146"/>
    </row>
    <row r="251" spans="1:16" ht="25.5">
      <c r="A251" s="105" t="s">
        <v>338</v>
      </c>
      <c r="B251" s="3"/>
      <c r="C251" s="11" t="s">
        <v>145</v>
      </c>
      <c r="D251" s="11" t="s">
        <v>179</v>
      </c>
      <c r="E251" s="37" t="s">
        <v>337</v>
      </c>
      <c r="F251" s="12"/>
      <c r="G251" s="34"/>
      <c r="H251" s="72"/>
      <c r="I251" s="72"/>
      <c r="J251" s="56"/>
      <c r="K251" s="72"/>
      <c r="L251" s="55">
        <f aca="true" t="shared" si="46" ref="L251:O253">L252</f>
        <v>0</v>
      </c>
      <c r="M251" s="207">
        <f t="shared" si="46"/>
        <v>274.282</v>
      </c>
      <c r="N251" s="207">
        <f t="shared" si="46"/>
        <v>274.28194</v>
      </c>
      <c r="O251" s="262">
        <f t="shared" si="35"/>
        <v>99.99997812470379</v>
      </c>
      <c r="P251" s="146"/>
    </row>
    <row r="252" spans="1:16" ht="25.5">
      <c r="A252" s="105" t="s">
        <v>288</v>
      </c>
      <c r="B252" s="3"/>
      <c r="C252" s="11" t="s">
        <v>145</v>
      </c>
      <c r="D252" s="11" t="s">
        <v>179</v>
      </c>
      <c r="E252" s="37" t="s">
        <v>287</v>
      </c>
      <c r="F252" s="12"/>
      <c r="G252" s="34"/>
      <c r="H252" s="72"/>
      <c r="I252" s="72"/>
      <c r="J252" s="56"/>
      <c r="K252" s="72"/>
      <c r="L252" s="55">
        <f t="shared" si="46"/>
        <v>0</v>
      </c>
      <c r="M252" s="207">
        <f t="shared" si="46"/>
        <v>274.282</v>
      </c>
      <c r="N252" s="207">
        <f t="shared" si="46"/>
        <v>274.28194</v>
      </c>
      <c r="O252" s="262">
        <f t="shared" si="35"/>
        <v>99.99997812470379</v>
      </c>
      <c r="P252" s="146"/>
    </row>
    <row r="253" spans="1:16" ht="14.25">
      <c r="A253" s="6" t="s">
        <v>339</v>
      </c>
      <c r="B253" s="3"/>
      <c r="C253" s="11" t="s">
        <v>145</v>
      </c>
      <c r="D253" s="11" t="s">
        <v>179</v>
      </c>
      <c r="E253" s="37" t="s">
        <v>287</v>
      </c>
      <c r="F253" s="13" t="s">
        <v>20</v>
      </c>
      <c r="G253" s="34"/>
      <c r="H253" s="72"/>
      <c r="I253" s="72"/>
      <c r="J253" s="56"/>
      <c r="K253" s="72"/>
      <c r="L253" s="55">
        <f t="shared" si="46"/>
        <v>0</v>
      </c>
      <c r="M253" s="207">
        <f t="shared" si="46"/>
        <v>274.282</v>
      </c>
      <c r="N253" s="207">
        <f t="shared" si="46"/>
        <v>274.28194</v>
      </c>
      <c r="O253" s="262">
        <f t="shared" si="35"/>
        <v>99.99997812470379</v>
      </c>
      <c r="P253" s="146"/>
    </row>
    <row r="254" spans="1:16" ht="14.25">
      <c r="A254" s="6" t="s">
        <v>209</v>
      </c>
      <c r="B254" s="3"/>
      <c r="C254" s="11" t="s">
        <v>145</v>
      </c>
      <c r="D254" s="11" t="s">
        <v>179</v>
      </c>
      <c r="E254" s="37" t="s">
        <v>287</v>
      </c>
      <c r="F254" s="13" t="s">
        <v>20</v>
      </c>
      <c r="G254" s="157">
        <v>3</v>
      </c>
      <c r="H254" s="72"/>
      <c r="I254" s="72"/>
      <c r="J254" s="56"/>
      <c r="K254" s="72"/>
      <c r="L254" s="55">
        <f>'проект бюджета 2013'!M394</f>
        <v>0</v>
      </c>
      <c r="M254" s="207">
        <f>'проект бюджета 2013'!N166</f>
        <v>274.282</v>
      </c>
      <c r="N254" s="207">
        <f>'проект бюджета 2013'!O166</f>
        <v>274.28194</v>
      </c>
      <c r="O254" s="262">
        <f t="shared" si="35"/>
        <v>99.99997812470379</v>
      </c>
      <c r="P254" s="146"/>
    </row>
    <row r="255" spans="1:16" ht="42" customHeight="1">
      <c r="A255" s="118" t="s">
        <v>427</v>
      </c>
      <c r="B255" s="3"/>
      <c r="C255" s="11" t="s">
        <v>145</v>
      </c>
      <c r="D255" s="11" t="s">
        <v>179</v>
      </c>
      <c r="E255" s="37" t="s">
        <v>368</v>
      </c>
      <c r="F255" s="13"/>
      <c r="G255" s="34"/>
      <c r="H255" s="72"/>
      <c r="I255" s="72"/>
      <c r="J255" s="56"/>
      <c r="K255" s="72"/>
      <c r="L255" s="55">
        <f aca="true" t="shared" si="47" ref="L255:O257">L256</f>
        <v>1500</v>
      </c>
      <c r="M255" s="207">
        <f t="shared" si="47"/>
        <v>5159.831</v>
      </c>
      <c r="N255" s="207">
        <f t="shared" si="47"/>
        <v>5159.83008</v>
      </c>
      <c r="O255" s="262">
        <f t="shared" si="35"/>
        <v>99.99998216995866</v>
      </c>
      <c r="P255" s="146"/>
    </row>
    <row r="256" spans="1:16" ht="25.5">
      <c r="A256" s="109" t="s">
        <v>371</v>
      </c>
      <c r="B256" s="3"/>
      <c r="C256" s="11" t="s">
        <v>145</v>
      </c>
      <c r="D256" s="11" t="s">
        <v>179</v>
      </c>
      <c r="E256" s="37" t="s">
        <v>369</v>
      </c>
      <c r="F256" s="13"/>
      <c r="G256" s="34"/>
      <c r="H256" s="72"/>
      <c r="I256" s="72"/>
      <c r="J256" s="56"/>
      <c r="K256" s="72"/>
      <c r="L256" s="55">
        <f t="shared" si="47"/>
        <v>1500</v>
      </c>
      <c r="M256" s="207">
        <f t="shared" si="47"/>
        <v>5159.831</v>
      </c>
      <c r="N256" s="207">
        <f t="shared" si="47"/>
        <v>5159.83008</v>
      </c>
      <c r="O256" s="262">
        <f t="shared" si="35"/>
        <v>99.99998216995866</v>
      </c>
      <c r="P256" s="146"/>
    </row>
    <row r="257" spans="1:16" ht="25.5">
      <c r="A257" s="118" t="s">
        <v>428</v>
      </c>
      <c r="B257" s="3"/>
      <c r="C257" s="11" t="s">
        <v>145</v>
      </c>
      <c r="D257" s="11" t="s">
        <v>179</v>
      </c>
      <c r="E257" s="37" t="s">
        <v>370</v>
      </c>
      <c r="F257" s="13"/>
      <c r="G257" s="34"/>
      <c r="H257" s="72"/>
      <c r="I257" s="72"/>
      <c r="J257" s="56"/>
      <c r="K257" s="72"/>
      <c r="L257" s="55">
        <f t="shared" si="47"/>
        <v>1500</v>
      </c>
      <c r="M257" s="207">
        <f t="shared" si="47"/>
        <v>5159.831</v>
      </c>
      <c r="N257" s="207">
        <f t="shared" si="47"/>
        <v>5159.83008</v>
      </c>
      <c r="O257" s="262">
        <f t="shared" si="35"/>
        <v>99.99998216995866</v>
      </c>
      <c r="P257" s="146"/>
    </row>
    <row r="258" spans="1:16" ht="15" customHeight="1">
      <c r="A258" s="154" t="s">
        <v>318</v>
      </c>
      <c r="B258" s="3"/>
      <c r="C258" s="11" t="s">
        <v>145</v>
      </c>
      <c r="D258" s="11" t="s">
        <v>179</v>
      </c>
      <c r="E258" s="37" t="s">
        <v>370</v>
      </c>
      <c r="F258" s="13" t="s">
        <v>316</v>
      </c>
      <c r="G258" s="157"/>
      <c r="H258" s="72"/>
      <c r="I258" s="72"/>
      <c r="J258" s="56"/>
      <c r="K258" s="72"/>
      <c r="L258" s="55">
        <f>L259+L260+L261</f>
        <v>1500</v>
      </c>
      <c r="M258" s="207">
        <f>M259+M260+M261</f>
        <v>5159.831</v>
      </c>
      <c r="N258" s="207">
        <f>N259+N260+N261</f>
        <v>5159.83008</v>
      </c>
      <c r="O258" s="262">
        <f t="shared" si="35"/>
        <v>99.99998216995866</v>
      </c>
      <c r="P258" s="146"/>
    </row>
    <row r="259" spans="1:16" ht="14.25">
      <c r="A259" s="6" t="s">
        <v>210</v>
      </c>
      <c r="B259" s="3"/>
      <c r="C259" s="11" t="s">
        <v>145</v>
      </c>
      <c r="D259" s="11" t="s">
        <v>179</v>
      </c>
      <c r="E259" s="37" t="s">
        <v>370</v>
      </c>
      <c r="F259" s="13" t="s">
        <v>316</v>
      </c>
      <c r="G259" s="157">
        <v>1</v>
      </c>
      <c r="H259" s="72"/>
      <c r="I259" s="72"/>
      <c r="J259" s="56"/>
      <c r="K259" s="72"/>
      <c r="L259" s="55">
        <f>'проект бюджета 2013'!M164</f>
        <v>0</v>
      </c>
      <c r="M259" s="207">
        <f>'проект бюджета 2013'!N164+'проект бюджета 2013'!N418</f>
        <v>0</v>
      </c>
      <c r="N259" s="207">
        <f>'проект бюджета 2013'!O164+'проект бюджета 2013'!O418</f>
        <v>0</v>
      </c>
      <c r="O259" s="262"/>
      <c r="P259" s="146"/>
    </row>
    <row r="260" spans="1:16" ht="14.25">
      <c r="A260" s="6" t="s">
        <v>211</v>
      </c>
      <c r="B260" s="3"/>
      <c r="C260" s="11" t="s">
        <v>145</v>
      </c>
      <c r="D260" s="11" t="s">
        <v>179</v>
      </c>
      <c r="E260" s="37" t="s">
        <v>370</v>
      </c>
      <c r="F260" s="13" t="s">
        <v>316</v>
      </c>
      <c r="G260" s="157">
        <v>2</v>
      </c>
      <c r="H260" s="72"/>
      <c r="I260" s="72"/>
      <c r="J260" s="56"/>
      <c r="K260" s="72"/>
      <c r="L260" s="55">
        <f>'проект бюджета 2013'!M165</f>
        <v>0</v>
      </c>
      <c r="M260" s="207">
        <f>'проект бюджета 2013'!N165+'проект бюджета 2013'!N419</f>
        <v>4644</v>
      </c>
      <c r="N260" s="207">
        <f>'проект бюджета 2013'!O165+'проект бюджета 2013'!O419</f>
        <v>4644</v>
      </c>
      <c r="O260" s="262">
        <f t="shared" si="35"/>
        <v>100</v>
      </c>
      <c r="P260" s="146"/>
    </row>
    <row r="261" spans="1:16" ht="14.25">
      <c r="A261" s="6" t="s">
        <v>209</v>
      </c>
      <c r="B261" s="3"/>
      <c r="C261" s="11" t="s">
        <v>145</v>
      </c>
      <c r="D261" s="11" t="s">
        <v>179</v>
      </c>
      <c r="E261" s="37" t="s">
        <v>370</v>
      </c>
      <c r="F261" s="13" t="s">
        <v>316</v>
      </c>
      <c r="G261" s="157">
        <v>3</v>
      </c>
      <c r="H261" s="72"/>
      <c r="I261" s="72"/>
      <c r="J261" s="56"/>
      <c r="K261" s="72"/>
      <c r="L261" s="55">
        <f>'проект бюджета 2013'!M166</f>
        <v>1500</v>
      </c>
      <c r="M261" s="207">
        <f>'проект бюджета 2013'!N420</f>
        <v>515.831</v>
      </c>
      <c r="N261" s="207">
        <f>'проект бюджета 2013'!O420</f>
        <v>515.83008</v>
      </c>
      <c r="O261" s="262">
        <f t="shared" si="35"/>
        <v>99.99982164701228</v>
      </c>
      <c r="P261" s="146"/>
    </row>
    <row r="262" spans="1:16" ht="14.25" customHeight="1">
      <c r="A262" s="120" t="s">
        <v>101</v>
      </c>
      <c r="B262" s="3"/>
      <c r="C262" s="11" t="s">
        <v>145</v>
      </c>
      <c r="D262" s="11" t="s">
        <v>179</v>
      </c>
      <c r="E262" s="37" t="s">
        <v>102</v>
      </c>
      <c r="F262" s="13"/>
      <c r="G262" s="34"/>
      <c r="H262" s="72"/>
      <c r="I262" s="72"/>
      <c r="J262" s="56"/>
      <c r="K262" s="72"/>
      <c r="L262" s="55">
        <f>L264</f>
        <v>0</v>
      </c>
      <c r="M262" s="207">
        <f aca="true" t="shared" si="48" ref="M262:O264">M263</f>
        <v>13.5</v>
      </c>
      <c r="N262" s="207">
        <f t="shared" si="48"/>
        <v>13.5</v>
      </c>
      <c r="O262" s="262">
        <f t="shared" si="35"/>
        <v>100</v>
      </c>
      <c r="P262" s="146"/>
    </row>
    <row r="263" spans="1:16" ht="27.75" customHeight="1">
      <c r="A263" s="145" t="s">
        <v>387</v>
      </c>
      <c r="B263" s="3"/>
      <c r="C263" s="11" t="s">
        <v>145</v>
      </c>
      <c r="D263" s="11" t="s">
        <v>179</v>
      </c>
      <c r="E263" s="37" t="s">
        <v>386</v>
      </c>
      <c r="F263" s="13"/>
      <c r="G263" s="34"/>
      <c r="H263" s="72"/>
      <c r="I263" s="72"/>
      <c r="J263" s="56"/>
      <c r="K263" s="72"/>
      <c r="L263" s="55"/>
      <c r="M263" s="207">
        <f t="shared" si="48"/>
        <v>13.5</v>
      </c>
      <c r="N263" s="207">
        <f t="shared" si="48"/>
        <v>13.5</v>
      </c>
      <c r="O263" s="262">
        <f t="shared" si="35"/>
        <v>100</v>
      </c>
      <c r="P263" s="146"/>
    </row>
    <row r="264" spans="1:16" ht="16.5" customHeight="1">
      <c r="A264" s="154" t="s">
        <v>318</v>
      </c>
      <c r="B264" s="3"/>
      <c r="C264" s="11" t="s">
        <v>145</v>
      </c>
      <c r="D264" s="11" t="s">
        <v>179</v>
      </c>
      <c r="E264" s="37" t="s">
        <v>386</v>
      </c>
      <c r="F264" s="13" t="s">
        <v>316</v>
      </c>
      <c r="G264" s="157"/>
      <c r="H264" s="72"/>
      <c r="I264" s="72"/>
      <c r="J264" s="56"/>
      <c r="K264" s="72"/>
      <c r="L264" s="55">
        <f>L265</f>
        <v>0</v>
      </c>
      <c r="M264" s="207">
        <f t="shared" si="48"/>
        <v>13.5</v>
      </c>
      <c r="N264" s="207">
        <f t="shared" si="48"/>
        <v>13.5</v>
      </c>
      <c r="O264" s="262">
        <f t="shared" si="35"/>
        <v>100</v>
      </c>
      <c r="P264" s="146"/>
    </row>
    <row r="265" spans="1:16" ht="14.25">
      <c r="A265" s="6" t="s">
        <v>211</v>
      </c>
      <c r="B265" s="3"/>
      <c r="C265" s="11" t="s">
        <v>145</v>
      </c>
      <c r="D265" s="11" t="s">
        <v>179</v>
      </c>
      <c r="E265" s="37" t="s">
        <v>386</v>
      </c>
      <c r="F265" s="13" t="s">
        <v>316</v>
      </c>
      <c r="G265" s="157">
        <v>2</v>
      </c>
      <c r="H265" s="72"/>
      <c r="I265" s="72"/>
      <c r="J265" s="56"/>
      <c r="K265" s="72"/>
      <c r="L265" s="55">
        <f>'проект бюджета 2013'!M413</f>
        <v>0</v>
      </c>
      <c r="M265" s="207">
        <f>'проект бюджета 2013'!N413</f>
        <v>13.5</v>
      </c>
      <c r="N265" s="207">
        <f>'проект бюджета 2013'!O413</f>
        <v>13.5</v>
      </c>
      <c r="O265" s="262">
        <f t="shared" si="35"/>
        <v>100</v>
      </c>
      <c r="P265" s="146"/>
    </row>
    <row r="266" spans="1:16" ht="51">
      <c r="A266" s="105" t="s">
        <v>8</v>
      </c>
      <c r="B266" s="5"/>
      <c r="C266" s="12" t="s">
        <v>145</v>
      </c>
      <c r="D266" s="11" t="s">
        <v>179</v>
      </c>
      <c r="E266" s="12" t="s">
        <v>9</v>
      </c>
      <c r="F266" s="12"/>
      <c r="G266" s="12"/>
      <c r="H266" s="55">
        <f>H270</f>
        <v>2306.4</v>
      </c>
      <c r="I266" s="55">
        <f>I270</f>
        <v>2284.4</v>
      </c>
      <c r="J266" s="56">
        <f>I266-H266</f>
        <v>-22</v>
      </c>
      <c r="K266" s="55">
        <f>K270</f>
        <v>2284.4</v>
      </c>
      <c r="L266" s="55">
        <f>L270+L267</f>
        <v>2687.3000000000006</v>
      </c>
      <c r="M266" s="207">
        <f>M270+M267</f>
        <v>2227.6409999999996</v>
      </c>
      <c r="N266" s="207">
        <f>N270+N267</f>
        <v>2227.6409999999996</v>
      </c>
      <c r="O266" s="262">
        <f t="shared" si="35"/>
        <v>100</v>
      </c>
      <c r="P266" s="146"/>
    </row>
    <row r="267" spans="1:16" ht="25.5">
      <c r="A267" s="105" t="s">
        <v>373</v>
      </c>
      <c r="B267" s="5"/>
      <c r="C267" s="11" t="s">
        <v>145</v>
      </c>
      <c r="D267" s="11" t="s">
        <v>179</v>
      </c>
      <c r="E267" s="37" t="s">
        <v>372</v>
      </c>
      <c r="F267" s="12"/>
      <c r="G267" s="9"/>
      <c r="H267" s="55"/>
      <c r="I267" s="55"/>
      <c r="J267" s="56"/>
      <c r="K267" s="55"/>
      <c r="L267" s="55">
        <f aca="true" t="shared" si="49" ref="L267:O268">L268</f>
        <v>1763.9</v>
      </c>
      <c r="M267" s="207">
        <f t="shared" si="49"/>
        <v>2227.6409999999996</v>
      </c>
      <c r="N267" s="207">
        <f t="shared" si="49"/>
        <v>2227.6409999999996</v>
      </c>
      <c r="O267" s="262">
        <f t="shared" si="35"/>
        <v>100</v>
      </c>
      <c r="P267" s="146"/>
    </row>
    <row r="268" spans="1:16" ht="25.5">
      <c r="A268" s="6" t="s">
        <v>97</v>
      </c>
      <c r="B268" s="5"/>
      <c r="C268" s="11" t="s">
        <v>145</v>
      </c>
      <c r="D268" s="11" t="s">
        <v>179</v>
      </c>
      <c r="E268" s="37" t="s">
        <v>372</v>
      </c>
      <c r="F268" s="37" t="s">
        <v>323</v>
      </c>
      <c r="G268" s="9"/>
      <c r="H268" s="55"/>
      <c r="I268" s="55"/>
      <c r="J268" s="56"/>
      <c r="K268" s="55"/>
      <c r="L268" s="55">
        <f t="shared" si="49"/>
        <v>1763.9</v>
      </c>
      <c r="M268" s="207">
        <f t="shared" si="49"/>
        <v>2227.6409999999996</v>
      </c>
      <c r="N268" s="207">
        <f t="shared" si="49"/>
        <v>2227.6409999999996</v>
      </c>
      <c r="O268" s="262">
        <f t="shared" si="35"/>
        <v>100</v>
      </c>
      <c r="P268" s="146"/>
    </row>
    <row r="269" spans="1:16" ht="14.25">
      <c r="A269" s="6" t="s">
        <v>209</v>
      </c>
      <c r="B269" s="5"/>
      <c r="C269" s="11" t="s">
        <v>145</v>
      </c>
      <c r="D269" s="11" t="s">
        <v>179</v>
      </c>
      <c r="E269" s="37" t="s">
        <v>372</v>
      </c>
      <c r="F269" s="37" t="s">
        <v>323</v>
      </c>
      <c r="G269" s="119">
        <v>3</v>
      </c>
      <c r="H269" s="55"/>
      <c r="I269" s="55"/>
      <c r="J269" s="56"/>
      <c r="K269" s="55"/>
      <c r="L269" s="55">
        <f>'проект бюджета 2013'!M398</f>
        <v>1763.9</v>
      </c>
      <c r="M269" s="207">
        <f>'проект бюджета 2013'!N398</f>
        <v>2227.6409999999996</v>
      </c>
      <c r="N269" s="207">
        <f>'проект бюджета 2013'!O398</f>
        <v>2227.6409999999996</v>
      </c>
      <c r="O269" s="262">
        <f t="shared" si="35"/>
        <v>100</v>
      </c>
      <c r="P269" s="146"/>
    </row>
    <row r="270" spans="1:16" ht="25.5">
      <c r="A270" s="105" t="s">
        <v>343</v>
      </c>
      <c r="B270" s="5"/>
      <c r="C270" s="12" t="s">
        <v>145</v>
      </c>
      <c r="D270" s="11" t="s">
        <v>179</v>
      </c>
      <c r="E270" s="12" t="s">
        <v>80</v>
      </c>
      <c r="F270" s="12"/>
      <c r="G270" s="12"/>
      <c r="H270" s="55">
        <f>H271</f>
        <v>2306.4</v>
      </c>
      <c r="I270" s="55">
        <f>I271</f>
        <v>2284.4</v>
      </c>
      <c r="J270" s="56">
        <f>I270-H270</f>
        <v>-22</v>
      </c>
      <c r="K270" s="55">
        <f>K271</f>
        <v>2284.4</v>
      </c>
      <c r="L270" s="55">
        <f>L271+L273</f>
        <v>923.4000000000004</v>
      </c>
      <c r="M270" s="207">
        <f>M271+M273</f>
        <v>0</v>
      </c>
      <c r="N270" s="207">
        <f>N271+N273</f>
        <v>0</v>
      </c>
      <c r="O270" s="262"/>
      <c r="P270" s="146"/>
    </row>
    <row r="271" spans="1:16" ht="38.25">
      <c r="A271" s="154" t="s">
        <v>319</v>
      </c>
      <c r="B271" s="6"/>
      <c r="C271" s="12" t="s">
        <v>145</v>
      </c>
      <c r="D271" s="11" t="s">
        <v>179</v>
      </c>
      <c r="E271" s="12" t="s">
        <v>80</v>
      </c>
      <c r="F271" s="13" t="s">
        <v>315</v>
      </c>
      <c r="G271" s="13"/>
      <c r="H271" s="55">
        <f>'проект бюджета 2013'!H400</f>
        <v>2306.4</v>
      </c>
      <c r="I271" s="55">
        <f>'проект бюджета 2013'!I400</f>
        <v>2284.4</v>
      </c>
      <c r="J271" s="56">
        <f>I271-H271</f>
        <v>-22</v>
      </c>
      <c r="K271" s="55">
        <f>'проект бюджета 2013'!K400</f>
        <v>2284.4</v>
      </c>
      <c r="L271" s="55">
        <f>'проект бюджета 2013'!M400</f>
        <v>913.4000000000004</v>
      </c>
      <c r="M271" s="207">
        <f>'проект бюджета 2013'!N400</f>
        <v>0</v>
      </c>
      <c r="N271" s="207">
        <f>'проект бюджета 2013'!O400</f>
        <v>0</v>
      </c>
      <c r="O271" s="262"/>
      <c r="P271" s="146"/>
    </row>
    <row r="272" spans="1:16" ht="15" customHeight="1">
      <c r="A272" s="6" t="s">
        <v>209</v>
      </c>
      <c r="B272" s="3"/>
      <c r="C272" s="12" t="s">
        <v>145</v>
      </c>
      <c r="D272" s="11" t="s">
        <v>179</v>
      </c>
      <c r="E272" s="12" t="s">
        <v>80</v>
      </c>
      <c r="F272" s="13" t="s">
        <v>315</v>
      </c>
      <c r="G272" s="156" t="s">
        <v>212</v>
      </c>
      <c r="H272" s="72">
        <f>'проект бюджета 2013'!H401</f>
        <v>2306.4</v>
      </c>
      <c r="I272" s="72">
        <f>'проект бюджета 2013'!I401</f>
        <v>2284.4</v>
      </c>
      <c r="J272" s="56">
        <f>I272-H272</f>
        <v>-22</v>
      </c>
      <c r="K272" s="72">
        <f>'проект бюджета 2013'!K401</f>
        <v>2284.4</v>
      </c>
      <c r="L272" s="72">
        <f>'проект бюджета 2013'!M401</f>
        <v>913.4000000000004</v>
      </c>
      <c r="M272" s="228">
        <f>'проект бюджета 2013'!N401</f>
        <v>0</v>
      </c>
      <c r="N272" s="228">
        <f>'проект бюджета 2013'!O401</f>
        <v>0</v>
      </c>
      <c r="O272" s="262"/>
      <c r="P272" s="146"/>
    </row>
    <row r="273" spans="1:16" ht="15" customHeight="1">
      <c r="A273" s="154" t="s">
        <v>318</v>
      </c>
      <c r="B273" s="3"/>
      <c r="C273" s="12" t="s">
        <v>145</v>
      </c>
      <c r="D273" s="11" t="s">
        <v>179</v>
      </c>
      <c r="E273" s="12" t="s">
        <v>80</v>
      </c>
      <c r="F273" s="13" t="s">
        <v>316</v>
      </c>
      <c r="G273" s="156"/>
      <c r="H273" s="72"/>
      <c r="I273" s="72"/>
      <c r="J273" s="56"/>
      <c r="K273" s="72"/>
      <c r="L273" s="72">
        <f>L274</f>
        <v>10.000000000000004</v>
      </c>
      <c r="M273" s="228">
        <f>M274</f>
        <v>0</v>
      </c>
      <c r="N273" s="228">
        <f>N274</f>
        <v>0</v>
      </c>
      <c r="O273" s="262"/>
      <c r="P273" s="146"/>
    </row>
    <row r="274" spans="1:16" ht="15" customHeight="1">
      <c r="A274" s="6" t="s">
        <v>209</v>
      </c>
      <c r="B274" s="3"/>
      <c r="C274" s="12" t="s">
        <v>145</v>
      </c>
      <c r="D274" s="11" t="s">
        <v>179</v>
      </c>
      <c r="E274" s="12" t="s">
        <v>80</v>
      </c>
      <c r="F274" s="13" t="s">
        <v>316</v>
      </c>
      <c r="G274" s="156" t="s">
        <v>212</v>
      </c>
      <c r="H274" s="72"/>
      <c r="I274" s="72"/>
      <c r="J274" s="56"/>
      <c r="K274" s="72"/>
      <c r="L274" s="72">
        <f>'проект бюджета 2013'!M403</f>
        <v>10.000000000000004</v>
      </c>
      <c r="M274" s="228">
        <f>'проект бюджета 2013'!N403</f>
        <v>0</v>
      </c>
      <c r="N274" s="228">
        <f>'проект бюджета 2013'!O403</f>
        <v>0</v>
      </c>
      <c r="O274" s="262"/>
      <c r="P274" s="146"/>
    </row>
    <row r="275" spans="1:16" ht="29.25" customHeight="1">
      <c r="A275" s="118" t="s">
        <v>423</v>
      </c>
      <c r="B275" s="3"/>
      <c r="C275" s="11" t="s">
        <v>145</v>
      </c>
      <c r="D275" s="11" t="s">
        <v>179</v>
      </c>
      <c r="E275" s="37" t="s">
        <v>424</v>
      </c>
      <c r="F275" s="13"/>
      <c r="G275" s="34"/>
      <c r="H275" s="72"/>
      <c r="I275" s="72"/>
      <c r="J275" s="56"/>
      <c r="K275" s="72"/>
      <c r="L275" s="72"/>
      <c r="M275" s="228">
        <f>M276</f>
        <v>1372.9</v>
      </c>
      <c r="N275" s="207">
        <f>N276</f>
        <v>1372.9</v>
      </c>
      <c r="O275" s="262">
        <f aca="true" t="shared" si="50" ref="O273:O336">N275/M275*100</f>
        <v>100</v>
      </c>
      <c r="P275" s="146"/>
    </row>
    <row r="276" spans="1:16" ht="28.5" customHeight="1">
      <c r="A276" s="105" t="s">
        <v>343</v>
      </c>
      <c r="B276" s="3"/>
      <c r="C276" s="11" t="s">
        <v>145</v>
      </c>
      <c r="D276" s="11" t="s">
        <v>179</v>
      </c>
      <c r="E276" s="37" t="s">
        <v>425</v>
      </c>
      <c r="F276" s="13"/>
      <c r="G276" s="34"/>
      <c r="H276" s="72"/>
      <c r="I276" s="72"/>
      <c r="J276" s="56"/>
      <c r="K276" s="72"/>
      <c r="L276" s="72"/>
      <c r="M276" s="228">
        <f>M277+M279</f>
        <v>1372.9</v>
      </c>
      <c r="N276" s="207">
        <f>N277+N279</f>
        <v>1372.9</v>
      </c>
      <c r="O276" s="262">
        <f t="shared" si="50"/>
        <v>100</v>
      </c>
      <c r="P276" s="146"/>
    </row>
    <row r="277" spans="1:16" ht="52.5" customHeight="1">
      <c r="A277" s="154" t="s">
        <v>319</v>
      </c>
      <c r="B277" s="3"/>
      <c r="C277" s="11" t="s">
        <v>145</v>
      </c>
      <c r="D277" s="11" t="s">
        <v>179</v>
      </c>
      <c r="E277" s="37" t="s">
        <v>425</v>
      </c>
      <c r="F277" s="13" t="s">
        <v>315</v>
      </c>
      <c r="G277" s="34"/>
      <c r="H277" s="72"/>
      <c r="I277" s="72"/>
      <c r="J277" s="56"/>
      <c r="K277" s="72"/>
      <c r="L277" s="72"/>
      <c r="M277" s="228">
        <f>M278</f>
        <v>1347.9</v>
      </c>
      <c r="N277" s="207">
        <f>N278</f>
        <v>1347.9</v>
      </c>
      <c r="O277" s="262">
        <f t="shared" si="50"/>
        <v>100</v>
      </c>
      <c r="P277" s="146"/>
    </row>
    <row r="278" spans="1:16" ht="15" customHeight="1">
      <c r="A278" s="6" t="s">
        <v>209</v>
      </c>
      <c r="B278" s="3"/>
      <c r="C278" s="11" t="s">
        <v>145</v>
      </c>
      <c r="D278" s="11" t="s">
        <v>179</v>
      </c>
      <c r="E278" s="37" t="s">
        <v>425</v>
      </c>
      <c r="F278" s="13" t="s">
        <v>315</v>
      </c>
      <c r="G278" s="157">
        <v>3</v>
      </c>
      <c r="H278" s="72"/>
      <c r="I278" s="72"/>
      <c r="J278" s="56"/>
      <c r="K278" s="72"/>
      <c r="L278" s="72"/>
      <c r="M278" s="228">
        <f>'проект бюджета 2013'!N407</f>
        <v>1347.9</v>
      </c>
      <c r="N278" s="207">
        <f>'проект бюджета 2013'!O407</f>
        <v>1347.9</v>
      </c>
      <c r="O278" s="262">
        <f t="shared" si="50"/>
        <v>100</v>
      </c>
      <c r="P278" s="146"/>
    </row>
    <row r="279" spans="1:16" ht="15" customHeight="1">
      <c r="A279" s="154" t="s">
        <v>318</v>
      </c>
      <c r="B279" s="3"/>
      <c r="C279" s="11" t="s">
        <v>145</v>
      </c>
      <c r="D279" s="11" t="s">
        <v>179</v>
      </c>
      <c r="E279" s="37" t="s">
        <v>425</v>
      </c>
      <c r="F279" s="13" t="s">
        <v>316</v>
      </c>
      <c r="G279" s="157"/>
      <c r="H279" s="72"/>
      <c r="I279" s="72"/>
      <c r="J279" s="56"/>
      <c r="K279" s="72"/>
      <c r="L279" s="72"/>
      <c r="M279" s="228">
        <f>M280</f>
        <v>25</v>
      </c>
      <c r="N279" s="207">
        <f>N280</f>
        <v>25</v>
      </c>
      <c r="O279" s="262">
        <f t="shared" si="50"/>
        <v>100</v>
      </c>
      <c r="P279" s="146"/>
    </row>
    <row r="280" spans="1:16" ht="15" customHeight="1">
      <c r="A280" s="6" t="s">
        <v>209</v>
      </c>
      <c r="B280" s="3"/>
      <c r="C280" s="11" t="s">
        <v>145</v>
      </c>
      <c r="D280" s="11" t="s">
        <v>179</v>
      </c>
      <c r="E280" s="37" t="s">
        <v>425</v>
      </c>
      <c r="F280" s="13" t="s">
        <v>316</v>
      </c>
      <c r="G280" s="157">
        <v>3</v>
      </c>
      <c r="H280" s="72"/>
      <c r="I280" s="72"/>
      <c r="J280" s="56"/>
      <c r="K280" s="72"/>
      <c r="L280" s="72"/>
      <c r="M280" s="228">
        <f>'проект бюджета 2013'!N409</f>
        <v>25</v>
      </c>
      <c r="N280" s="207">
        <f>'проект бюджета 2013'!O409</f>
        <v>25</v>
      </c>
      <c r="O280" s="262">
        <f t="shared" si="50"/>
        <v>100</v>
      </c>
      <c r="P280" s="146"/>
    </row>
    <row r="281" spans="1:16" ht="15" customHeight="1">
      <c r="A281" s="51" t="s">
        <v>221</v>
      </c>
      <c r="B281" s="3"/>
      <c r="C281" s="11" t="s">
        <v>145</v>
      </c>
      <c r="D281" s="11" t="s">
        <v>179</v>
      </c>
      <c r="E281" s="12" t="s">
        <v>156</v>
      </c>
      <c r="F281" s="13"/>
      <c r="G281" s="34"/>
      <c r="H281" s="72"/>
      <c r="I281" s="72"/>
      <c r="J281" s="56"/>
      <c r="K281" s="72"/>
      <c r="L281" s="72">
        <f aca="true" t="shared" si="51" ref="L281:O283">L282</f>
        <v>2500</v>
      </c>
      <c r="M281" s="228">
        <f>M282+M285+M288</f>
        <v>3038.961</v>
      </c>
      <c r="N281" s="228">
        <f>N282+N285+N288</f>
        <v>3038.961</v>
      </c>
      <c r="O281" s="262">
        <f t="shared" si="50"/>
        <v>100</v>
      </c>
      <c r="P281" s="146"/>
    </row>
    <row r="282" spans="1:16" ht="25.5">
      <c r="A282" s="105" t="s">
        <v>340</v>
      </c>
      <c r="B282" s="3"/>
      <c r="C282" s="11" t="s">
        <v>145</v>
      </c>
      <c r="D282" s="11" t="s">
        <v>179</v>
      </c>
      <c r="E282" s="39">
        <v>7950012</v>
      </c>
      <c r="F282" s="13"/>
      <c r="G282" s="34"/>
      <c r="H282" s="72"/>
      <c r="I282" s="72">
        <f>I283</f>
        <v>0</v>
      </c>
      <c r="J282" s="56"/>
      <c r="K282" s="72">
        <f>K283</f>
        <v>0</v>
      </c>
      <c r="L282" s="72">
        <f t="shared" si="51"/>
        <v>2500</v>
      </c>
      <c r="M282" s="225">
        <f t="shared" si="51"/>
        <v>520</v>
      </c>
      <c r="N282" s="225">
        <f t="shared" si="51"/>
        <v>520</v>
      </c>
      <c r="O282" s="262">
        <f t="shared" si="50"/>
        <v>100</v>
      </c>
      <c r="P282" s="146"/>
    </row>
    <row r="283" spans="1:16" ht="15" customHeight="1">
      <c r="A283" s="154" t="s">
        <v>318</v>
      </c>
      <c r="B283" s="3"/>
      <c r="C283" s="11" t="s">
        <v>145</v>
      </c>
      <c r="D283" s="11" t="s">
        <v>179</v>
      </c>
      <c r="E283" s="39">
        <v>7950012</v>
      </c>
      <c r="F283" s="13" t="s">
        <v>316</v>
      </c>
      <c r="G283" s="157"/>
      <c r="H283" s="72"/>
      <c r="I283" s="72">
        <f>I284</f>
        <v>0</v>
      </c>
      <c r="J283" s="56"/>
      <c r="K283" s="72">
        <f>K284</f>
        <v>0</v>
      </c>
      <c r="L283" s="72">
        <f t="shared" si="51"/>
        <v>2500</v>
      </c>
      <c r="M283" s="225">
        <f t="shared" si="51"/>
        <v>520</v>
      </c>
      <c r="N283" s="225">
        <f t="shared" si="51"/>
        <v>520</v>
      </c>
      <c r="O283" s="262">
        <f t="shared" si="50"/>
        <v>100</v>
      </c>
      <c r="P283" s="146"/>
    </row>
    <row r="284" spans="1:16" s="68" customFormat="1" ht="15" customHeight="1">
      <c r="A284" s="6" t="s">
        <v>209</v>
      </c>
      <c r="B284" s="3"/>
      <c r="C284" s="11" t="s">
        <v>145</v>
      </c>
      <c r="D284" s="11" t="s">
        <v>179</v>
      </c>
      <c r="E284" s="39">
        <v>7950012</v>
      </c>
      <c r="F284" s="13" t="s">
        <v>316</v>
      </c>
      <c r="G284" s="157">
        <v>3</v>
      </c>
      <c r="H284" s="72"/>
      <c r="I284" s="72">
        <f>'проект бюджета 2013'!I424</f>
        <v>0</v>
      </c>
      <c r="J284" s="56"/>
      <c r="K284" s="72">
        <f>'проект бюджета 2013'!K424</f>
        <v>0</v>
      </c>
      <c r="L284" s="72">
        <f>'проект бюджета 2013'!M424</f>
        <v>2500</v>
      </c>
      <c r="M284" s="225">
        <f>'проект бюджета 2013'!N424</f>
        <v>520</v>
      </c>
      <c r="N284" s="225">
        <f>'проект бюджета 2013'!O424</f>
        <v>520</v>
      </c>
      <c r="O284" s="262">
        <f t="shared" si="50"/>
        <v>100</v>
      </c>
      <c r="P284" s="146"/>
    </row>
    <row r="285" spans="1:16" s="68" customFormat="1" ht="39" customHeight="1">
      <c r="A285" s="105" t="s">
        <v>360</v>
      </c>
      <c r="B285" s="3"/>
      <c r="C285" s="11" t="s">
        <v>145</v>
      </c>
      <c r="D285" s="11" t="s">
        <v>179</v>
      </c>
      <c r="E285" s="37" t="s">
        <v>359</v>
      </c>
      <c r="F285" s="15"/>
      <c r="G285" s="34"/>
      <c r="H285" s="72"/>
      <c r="I285" s="72"/>
      <c r="J285" s="56"/>
      <c r="K285" s="72"/>
      <c r="L285" s="72"/>
      <c r="M285" s="228">
        <f aca="true" t="shared" si="52" ref="M285:O286">M286</f>
        <v>0</v>
      </c>
      <c r="N285" s="228">
        <f t="shared" si="52"/>
        <v>0</v>
      </c>
      <c r="O285" s="262"/>
      <c r="P285" s="146"/>
    </row>
    <row r="286" spans="1:16" s="68" customFormat="1" ht="15" customHeight="1">
      <c r="A286" s="6" t="s">
        <v>339</v>
      </c>
      <c r="B286" s="3"/>
      <c r="C286" s="11" t="s">
        <v>145</v>
      </c>
      <c r="D286" s="11" t="s">
        <v>179</v>
      </c>
      <c r="E286" s="37" t="s">
        <v>359</v>
      </c>
      <c r="F286" s="110" t="s">
        <v>20</v>
      </c>
      <c r="G286" s="34"/>
      <c r="H286" s="72"/>
      <c r="I286" s="72"/>
      <c r="J286" s="56"/>
      <c r="K286" s="72"/>
      <c r="L286" s="72"/>
      <c r="M286" s="228">
        <f t="shared" si="52"/>
        <v>0</v>
      </c>
      <c r="N286" s="228">
        <f t="shared" si="52"/>
        <v>0</v>
      </c>
      <c r="O286" s="262"/>
      <c r="P286" s="146"/>
    </row>
    <row r="287" spans="1:16" s="68" customFormat="1" ht="15" customHeight="1">
      <c r="A287" s="6" t="s">
        <v>209</v>
      </c>
      <c r="B287" s="3"/>
      <c r="C287" s="11" t="s">
        <v>145</v>
      </c>
      <c r="D287" s="11" t="s">
        <v>179</v>
      </c>
      <c r="E287" s="37" t="s">
        <v>359</v>
      </c>
      <c r="F287" s="110" t="s">
        <v>20</v>
      </c>
      <c r="G287" s="157">
        <v>3</v>
      </c>
      <c r="H287" s="72"/>
      <c r="I287" s="72"/>
      <c r="J287" s="56"/>
      <c r="K287" s="72"/>
      <c r="L287" s="72"/>
      <c r="M287" s="228">
        <f>'проект бюджета 2013'!N427</f>
        <v>0</v>
      </c>
      <c r="N287" s="228">
        <f>'проект бюджета 2013'!O427</f>
        <v>0</v>
      </c>
      <c r="O287" s="262"/>
      <c r="P287" s="146"/>
    </row>
    <row r="288" spans="1:16" s="68" customFormat="1" ht="38.25" customHeight="1">
      <c r="A288" s="105" t="s">
        <v>404</v>
      </c>
      <c r="B288" s="3"/>
      <c r="C288" s="11" t="s">
        <v>145</v>
      </c>
      <c r="D288" s="11" t="s">
        <v>179</v>
      </c>
      <c r="E288" s="37" t="s">
        <v>415</v>
      </c>
      <c r="F288" s="110"/>
      <c r="G288" s="34"/>
      <c r="H288" s="72"/>
      <c r="I288" s="72"/>
      <c r="J288" s="56"/>
      <c r="K288" s="72"/>
      <c r="L288" s="72"/>
      <c r="M288" s="228">
        <f>M289+M291</f>
        <v>2518.961</v>
      </c>
      <c r="N288" s="228">
        <f>N289+N291</f>
        <v>2518.961</v>
      </c>
      <c r="O288" s="262">
        <f t="shared" si="50"/>
        <v>100</v>
      </c>
      <c r="P288" s="146"/>
    </row>
    <row r="289" spans="1:16" s="68" customFormat="1" ht="15.75" customHeight="1">
      <c r="A289" s="154" t="s">
        <v>318</v>
      </c>
      <c r="B289" s="3"/>
      <c r="C289" s="11" t="s">
        <v>145</v>
      </c>
      <c r="D289" s="11" t="s">
        <v>179</v>
      </c>
      <c r="E289" s="37" t="s">
        <v>415</v>
      </c>
      <c r="F289" s="13" t="s">
        <v>316</v>
      </c>
      <c r="G289" s="157"/>
      <c r="H289" s="72"/>
      <c r="I289" s="72"/>
      <c r="J289" s="56"/>
      <c r="K289" s="72"/>
      <c r="L289" s="72"/>
      <c r="M289" s="207">
        <f>M290</f>
        <v>2438.961</v>
      </c>
      <c r="N289" s="207">
        <f>N290</f>
        <v>2438.961</v>
      </c>
      <c r="O289" s="262">
        <f t="shared" si="50"/>
        <v>100</v>
      </c>
      <c r="P289" s="146"/>
    </row>
    <row r="290" spans="1:16" s="68" customFormat="1" ht="15" customHeight="1">
      <c r="A290" s="6" t="s">
        <v>209</v>
      </c>
      <c r="B290" s="3"/>
      <c r="C290" s="11" t="s">
        <v>145</v>
      </c>
      <c r="D290" s="11" t="s">
        <v>179</v>
      </c>
      <c r="E290" s="37" t="s">
        <v>415</v>
      </c>
      <c r="F290" s="13" t="s">
        <v>316</v>
      </c>
      <c r="G290" s="157">
        <v>3</v>
      </c>
      <c r="H290" s="72"/>
      <c r="I290" s="72"/>
      <c r="J290" s="56"/>
      <c r="K290" s="72"/>
      <c r="L290" s="72"/>
      <c r="M290" s="207">
        <f>'проект бюджета 2013'!N430</f>
        <v>2438.961</v>
      </c>
      <c r="N290" s="207">
        <f>'проект бюджета 2013'!O430</f>
        <v>2438.961</v>
      </c>
      <c r="O290" s="262">
        <f t="shared" si="50"/>
        <v>100</v>
      </c>
      <c r="P290" s="146"/>
    </row>
    <row r="291" spans="1:16" s="68" customFormat="1" ht="27" customHeight="1">
      <c r="A291" s="6" t="s">
        <v>97</v>
      </c>
      <c r="B291" s="3"/>
      <c r="C291" s="201" t="s">
        <v>145</v>
      </c>
      <c r="D291" s="201" t="s">
        <v>179</v>
      </c>
      <c r="E291" s="202" t="s">
        <v>415</v>
      </c>
      <c r="F291" s="101" t="s">
        <v>323</v>
      </c>
      <c r="G291" s="187"/>
      <c r="H291" s="72"/>
      <c r="I291" s="72"/>
      <c r="J291" s="56"/>
      <c r="K291" s="72"/>
      <c r="L291" s="72"/>
      <c r="M291" s="228">
        <f>M292</f>
        <v>80</v>
      </c>
      <c r="N291" s="228">
        <f>N292</f>
        <v>80</v>
      </c>
      <c r="O291" s="262">
        <f t="shared" si="50"/>
        <v>100</v>
      </c>
      <c r="P291" s="146"/>
    </row>
    <row r="292" spans="1:16" s="68" customFormat="1" ht="15" customHeight="1">
      <c r="A292" s="169" t="s">
        <v>209</v>
      </c>
      <c r="B292" s="3"/>
      <c r="C292" s="201" t="s">
        <v>145</v>
      </c>
      <c r="D292" s="201" t="s">
        <v>179</v>
      </c>
      <c r="E292" s="202" t="s">
        <v>415</v>
      </c>
      <c r="F292" s="101" t="s">
        <v>323</v>
      </c>
      <c r="G292" s="187">
        <v>3</v>
      </c>
      <c r="H292" s="72"/>
      <c r="I292" s="72"/>
      <c r="J292" s="56"/>
      <c r="K292" s="72"/>
      <c r="L292" s="72"/>
      <c r="M292" s="228">
        <f>'проект бюджета 2013'!N169</f>
        <v>80</v>
      </c>
      <c r="N292" s="228">
        <f>'проект бюджета 2013'!O169</f>
        <v>80</v>
      </c>
      <c r="O292" s="262">
        <f t="shared" si="50"/>
        <v>100</v>
      </c>
      <c r="P292" s="146"/>
    </row>
    <row r="293" spans="1:16" s="68" customFormat="1" ht="40.5" customHeight="1">
      <c r="A293" s="109" t="s">
        <v>405</v>
      </c>
      <c r="B293" s="3"/>
      <c r="C293" s="11" t="s">
        <v>145</v>
      </c>
      <c r="D293" s="11" t="s">
        <v>179</v>
      </c>
      <c r="E293" s="37" t="s">
        <v>406</v>
      </c>
      <c r="F293" s="13"/>
      <c r="G293" s="34"/>
      <c r="H293" s="72"/>
      <c r="I293" s="72"/>
      <c r="J293" s="56"/>
      <c r="K293" s="72"/>
      <c r="L293" s="72"/>
      <c r="M293" s="207">
        <f>M294</f>
        <v>0</v>
      </c>
      <c r="N293" s="207">
        <f>N294</f>
        <v>0</v>
      </c>
      <c r="O293" s="262"/>
      <c r="P293" s="146"/>
    </row>
    <row r="294" spans="1:16" s="68" customFormat="1" ht="15" customHeight="1">
      <c r="A294" s="154" t="s">
        <v>318</v>
      </c>
      <c r="B294" s="3"/>
      <c r="C294" s="11" t="s">
        <v>145</v>
      </c>
      <c r="D294" s="11" t="s">
        <v>179</v>
      </c>
      <c r="E294" s="80" t="s">
        <v>406</v>
      </c>
      <c r="F294" s="13" t="s">
        <v>316</v>
      </c>
      <c r="G294" s="157"/>
      <c r="H294" s="72"/>
      <c r="I294" s="72"/>
      <c r="J294" s="56"/>
      <c r="K294" s="72"/>
      <c r="L294" s="72"/>
      <c r="M294" s="207">
        <f>M295+M296</f>
        <v>0</v>
      </c>
      <c r="N294" s="207">
        <f>N295+N296</f>
        <v>0</v>
      </c>
      <c r="O294" s="262"/>
      <c r="P294" s="146"/>
    </row>
    <row r="295" spans="1:16" s="68" customFormat="1" ht="15" customHeight="1">
      <c r="A295" s="6" t="s">
        <v>211</v>
      </c>
      <c r="B295" s="3"/>
      <c r="C295" s="11" t="s">
        <v>145</v>
      </c>
      <c r="D295" s="11" t="s">
        <v>179</v>
      </c>
      <c r="E295" s="80" t="s">
        <v>406</v>
      </c>
      <c r="F295" s="13" t="s">
        <v>316</v>
      </c>
      <c r="G295" s="157">
        <v>2</v>
      </c>
      <c r="H295" s="72"/>
      <c r="I295" s="72"/>
      <c r="J295" s="56"/>
      <c r="K295" s="72"/>
      <c r="L295" s="72"/>
      <c r="M295" s="207">
        <f>'проект бюджета 2013'!N433</f>
        <v>0</v>
      </c>
      <c r="N295" s="207">
        <f>'проект бюджета 2013'!O433</f>
        <v>0</v>
      </c>
      <c r="O295" s="262"/>
      <c r="P295" s="146"/>
    </row>
    <row r="296" spans="1:16" s="68" customFormat="1" ht="15" customHeight="1">
      <c r="A296" s="6" t="s">
        <v>209</v>
      </c>
      <c r="B296" s="3"/>
      <c r="C296" s="11" t="s">
        <v>145</v>
      </c>
      <c r="D296" s="11" t="s">
        <v>179</v>
      </c>
      <c r="E296" s="80" t="s">
        <v>406</v>
      </c>
      <c r="F296" s="13" t="s">
        <v>316</v>
      </c>
      <c r="G296" s="157">
        <v>3</v>
      </c>
      <c r="H296" s="72"/>
      <c r="I296" s="72"/>
      <c r="J296" s="56"/>
      <c r="K296" s="72"/>
      <c r="L296" s="72"/>
      <c r="M296" s="207">
        <f>'проект бюджета 2013'!N434</f>
        <v>0</v>
      </c>
      <c r="N296" s="207">
        <f>'проект бюджета 2013'!O434</f>
        <v>0</v>
      </c>
      <c r="O296" s="262"/>
      <c r="P296" s="146"/>
    </row>
    <row r="297" spans="1:16" ht="28.5">
      <c r="A297" s="3" t="s">
        <v>10</v>
      </c>
      <c r="B297" s="3"/>
      <c r="C297" s="10" t="s">
        <v>146</v>
      </c>
      <c r="D297" s="10">
        <v>0</v>
      </c>
      <c r="E297" s="10">
        <v>0</v>
      </c>
      <c r="F297" s="10">
        <v>0</v>
      </c>
      <c r="G297" s="10">
        <v>0</v>
      </c>
      <c r="H297" s="55" t="e">
        <f>H298+H333</f>
        <v>#REF!</v>
      </c>
      <c r="I297" s="55" t="e">
        <f>I298+I333</f>
        <v>#REF!</v>
      </c>
      <c r="J297" s="56" t="e">
        <f aca="true" t="shared" si="53" ref="J297:J309">I297-H297</f>
        <v>#REF!</v>
      </c>
      <c r="K297" s="55" t="e">
        <f>K298+K333</f>
        <v>#REF!</v>
      </c>
      <c r="L297" s="55" t="e">
        <f>L298+L333</f>
        <v>#REF!</v>
      </c>
      <c r="M297" s="207">
        <f>M298+M333</f>
        <v>5373.005999999999</v>
      </c>
      <c r="N297" s="207">
        <f>N298+N333</f>
        <v>5874.005999999999</v>
      </c>
      <c r="O297" s="262">
        <f t="shared" si="50"/>
        <v>109.32438936416598</v>
      </c>
      <c r="P297" s="146"/>
    </row>
    <row r="298" spans="1:16" ht="14.25">
      <c r="A298" s="4" t="s">
        <v>13</v>
      </c>
      <c r="B298" s="4"/>
      <c r="C298" s="11" t="s">
        <v>146</v>
      </c>
      <c r="D298" s="11" t="s">
        <v>181</v>
      </c>
      <c r="E298" s="11">
        <v>0</v>
      </c>
      <c r="F298" s="11"/>
      <c r="G298" s="11"/>
      <c r="H298" s="55" t="e">
        <f>#REF!+H317+#REF!+H299+#REF!+#REF!</f>
        <v>#REF!</v>
      </c>
      <c r="I298" s="55" t="e">
        <f>#REF!+I317+#REF!+I299+#REF!+#REF!</f>
        <v>#REF!</v>
      </c>
      <c r="J298" s="56" t="e">
        <f t="shared" si="53"/>
        <v>#REF!</v>
      </c>
      <c r="K298" s="55" t="e">
        <f>#REF!+K317+#REF!+K299+#REF!+#REF!</f>
        <v>#REF!</v>
      </c>
      <c r="L298" s="55">
        <f>L317+L299+L330</f>
        <v>4976</v>
      </c>
      <c r="M298" s="207">
        <f>M317+M299+M330+M325</f>
        <v>4499.005999999999</v>
      </c>
      <c r="N298" s="207">
        <f>N317+N299+N330+N325</f>
        <v>5000.005999999999</v>
      </c>
      <c r="O298" s="262">
        <f t="shared" si="50"/>
        <v>111.13579310629949</v>
      </c>
      <c r="P298" s="146"/>
    </row>
    <row r="299" spans="1:16" ht="28.5">
      <c r="A299" s="4" t="s">
        <v>283</v>
      </c>
      <c r="B299" s="11" t="s">
        <v>167</v>
      </c>
      <c r="C299" s="11" t="s">
        <v>146</v>
      </c>
      <c r="D299" s="11" t="s">
        <v>181</v>
      </c>
      <c r="E299" s="13" t="s">
        <v>65</v>
      </c>
      <c r="F299" s="15"/>
      <c r="G299" s="34"/>
      <c r="H299" s="55" t="e">
        <f>H300+#REF!</f>
        <v>#REF!</v>
      </c>
      <c r="I299" s="55" t="e">
        <f>I300+#REF!</f>
        <v>#REF!</v>
      </c>
      <c r="J299" s="56" t="e">
        <f t="shared" si="53"/>
        <v>#REF!</v>
      </c>
      <c r="K299" s="55" t="e">
        <f>K300+#REF!</f>
        <v>#REF!</v>
      </c>
      <c r="L299" s="55">
        <f>L300+L309</f>
        <v>2971</v>
      </c>
      <c r="M299" s="207">
        <f>M300+M309+M303+M306</f>
        <v>2767.606</v>
      </c>
      <c r="N299" s="207">
        <f>N300+N309+N303+N306</f>
        <v>2767.606</v>
      </c>
      <c r="O299" s="262">
        <f t="shared" si="50"/>
        <v>100</v>
      </c>
      <c r="P299" s="146"/>
    </row>
    <row r="300" spans="1:16" ht="38.25">
      <c r="A300" s="5" t="s">
        <v>282</v>
      </c>
      <c r="B300" s="11" t="s">
        <v>167</v>
      </c>
      <c r="C300" s="11" t="s">
        <v>146</v>
      </c>
      <c r="D300" s="11" t="s">
        <v>181</v>
      </c>
      <c r="E300" s="13" t="s">
        <v>281</v>
      </c>
      <c r="F300" s="15"/>
      <c r="G300" s="34"/>
      <c r="H300" s="55">
        <f>H301</f>
        <v>7</v>
      </c>
      <c r="I300" s="55">
        <f>I301</f>
        <v>0</v>
      </c>
      <c r="J300" s="56">
        <f t="shared" si="53"/>
        <v>-7</v>
      </c>
      <c r="K300" s="55">
        <f aca="true" t="shared" si="54" ref="K300:O301">K301</f>
        <v>0</v>
      </c>
      <c r="L300" s="55">
        <f t="shared" si="54"/>
        <v>36.2</v>
      </c>
      <c r="M300" s="207">
        <f t="shared" si="54"/>
        <v>35.3</v>
      </c>
      <c r="N300" s="207">
        <f t="shared" si="54"/>
        <v>35.3</v>
      </c>
      <c r="O300" s="262">
        <f t="shared" si="50"/>
        <v>100</v>
      </c>
      <c r="P300" s="146"/>
    </row>
    <row r="301" spans="1:16" ht="14.25">
      <c r="A301" s="154" t="s">
        <v>318</v>
      </c>
      <c r="B301" s="11" t="s">
        <v>167</v>
      </c>
      <c r="C301" s="11" t="s">
        <v>146</v>
      </c>
      <c r="D301" s="11" t="s">
        <v>181</v>
      </c>
      <c r="E301" s="13" t="s">
        <v>281</v>
      </c>
      <c r="F301" s="115" t="s">
        <v>316</v>
      </c>
      <c r="G301" s="157"/>
      <c r="H301" s="55">
        <f>H302</f>
        <v>7</v>
      </c>
      <c r="I301" s="55">
        <f>I302</f>
        <v>0</v>
      </c>
      <c r="J301" s="56">
        <f t="shared" si="53"/>
        <v>-7</v>
      </c>
      <c r="K301" s="55">
        <f t="shared" si="54"/>
        <v>0</v>
      </c>
      <c r="L301" s="55">
        <f t="shared" si="54"/>
        <v>36.2</v>
      </c>
      <c r="M301" s="207">
        <f t="shared" si="54"/>
        <v>35.3</v>
      </c>
      <c r="N301" s="207">
        <f t="shared" si="54"/>
        <v>35.3</v>
      </c>
      <c r="O301" s="262">
        <f t="shared" si="50"/>
        <v>100</v>
      </c>
      <c r="P301" s="146"/>
    </row>
    <row r="302" spans="1:16" ht="14.25">
      <c r="A302" s="6" t="s">
        <v>210</v>
      </c>
      <c r="B302" s="11" t="s">
        <v>167</v>
      </c>
      <c r="C302" s="11" t="s">
        <v>146</v>
      </c>
      <c r="D302" s="11" t="s">
        <v>181</v>
      </c>
      <c r="E302" s="13" t="s">
        <v>281</v>
      </c>
      <c r="F302" s="115" t="s">
        <v>316</v>
      </c>
      <c r="G302" s="157">
        <v>1</v>
      </c>
      <c r="H302" s="55">
        <f>'проект бюджета 2013'!H474</f>
        <v>7</v>
      </c>
      <c r="I302" s="55">
        <f>'проект бюджета 2013'!I474</f>
        <v>0</v>
      </c>
      <c r="J302" s="56">
        <f t="shared" si="53"/>
        <v>-7</v>
      </c>
      <c r="K302" s="55">
        <f>'проект бюджета 2013'!K474</f>
        <v>0</v>
      </c>
      <c r="L302" s="55">
        <f>'проект бюджета 2013'!M474</f>
        <v>36.2</v>
      </c>
      <c r="M302" s="207">
        <f>'проект бюджета 2013'!N474</f>
        <v>35.3</v>
      </c>
      <c r="N302" s="207">
        <f>'проект бюджета 2013'!O474</f>
        <v>35.3</v>
      </c>
      <c r="O302" s="262">
        <f t="shared" si="50"/>
        <v>100</v>
      </c>
      <c r="P302" s="146"/>
    </row>
    <row r="303" spans="1:16" ht="38.25">
      <c r="A303" s="107" t="s">
        <v>443</v>
      </c>
      <c r="B303" s="11"/>
      <c r="C303" s="11" t="s">
        <v>146</v>
      </c>
      <c r="D303" s="11" t="s">
        <v>181</v>
      </c>
      <c r="E303" s="80" t="s">
        <v>444</v>
      </c>
      <c r="F303" s="115"/>
      <c r="G303" s="34"/>
      <c r="H303" s="55"/>
      <c r="I303" s="55"/>
      <c r="J303" s="56"/>
      <c r="K303" s="55"/>
      <c r="L303" s="55"/>
      <c r="M303" s="207">
        <f aca="true" t="shared" si="55" ref="M303:O304">M304</f>
        <v>100</v>
      </c>
      <c r="N303" s="207">
        <f t="shared" si="55"/>
        <v>100</v>
      </c>
      <c r="O303" s="262">
        <f t="shared" si="50"/>
        <v>100</v>
      </c>
      <c r="P303" s="146"/>
    </row>
    <row r="304" spans="1:16" ht="14.25">
      <c r="A304" s="6" t="s">
        <v>318</v>
      </c>
      <c r="B304" s="11"/>
      <c r="C304" s="11" t="s">
        <v>146</v>
      </c>
      <c r="D304" s="11" t="s">
        <v>181</v>
      </c>
      <c r="E304" s="80" t="s">
        <v>444</v>
      </c>
      <c r="F304" s="115" t="s">
        <v>316</v>
      </c>
      <c r="G304" s="34"/>
      <c r="H304" s="55"/>
      <c r="I304" s="55"/>
      <c r="J304" s="56"/>
      <c r="K304" s="55"/>
      <c r="L304" s="55"/>
      <c r="M304" s="207">
        <f t="shared" si="55"/>
        <v>100</v>
      </c>
      <c r="N304" s="207">
        <f t="shared" si="55"/>
        <v>100</v>
      </c>
      <c r="O304" s="262">
        <f t="shared" si="50"/>
        <v>100</v>
      </c>
      <c r="P304" s="146"/>
    </row>
    <row r="305" spans="1:16" ht="14.25">
      <c r="A305" s="6" t="s">
        <v>210</v>
      </c>
      <c r="B305" s="11"/>
      <c r="C305" s="11" t="s">
        <v>146</v>
      </c>
      <c r="D305" s="11" t="s">
        <v>181</v>
      </c>
      <c r="E305" s="80" t="s">
        <v>444</v>
      </c>
      <c r="F305" s="115" t="s">
        <v>316</v>
      </c>
      <c r="G305" s="34">
        <v>1</v>
      </c>
      <c r="H305" s="55"/>
      <c r="I305" s="55"/>
      <c r="J305" s="56"/>
      <c r="K305" s="55"/>
      <c r="L305" s="55"/>
      <c r="M305" s="207">
        <f>'проект бюджета 2013'!N477</f>
        <v>100</v>
      </c>
      <c r="N305" s="207">
        <f>'проект бюджета 2013'!O477</f>
        <v>100</v>
      </c>
      <c r="O305" s="262">
        <f t="shared" si="50"/>
        <v>100</v>
      </c>
      <c r="P305" s="146"/>
    </row>
    <row r="306" spans="1:16" ht="38.25">
      <c r="A306" s="105" t="s">
        <v>446</v>
      </c>
      <c r="B306" s="11"/>
      <c r="C306" s="11" t="s">
        <v>146</v>
      </c>
      <c r="D306" s="11" t="s">
        <v>181</v>
      </c>
      <c r="E306" s="80" t="s">
        <v>445</v>
      </c>
      <c r="F306" s="115"/>
      <c r="G306" s="34"/>
      <c r="H306" s="55"/>
      <c r="I306" s="55"/>
      <c r="J306" s="56"/>
      <c r="K306" s="55"/>
      <c r="L306" s="55"/>
      <c r="M306" s="207">
        <f aca="true" t="shared" si="56" ref="M306:O307">M307</f>
        <v>50</v>
      </c>
      <c r="N306" s="207">
        <f t="shared" si="56"/>
        <v>50</v>
      </c>
      <c r="O306" s="262">
        <f t="shared" si="50"/>
        <v>100</v>
      </c>
      <c r="P306" s="146"/>
    </row>
    <row r="307" spans="1:16" ht="14.25">
      <c r="A307" s="51" t="s">
        <v>195</v>
      </c>
      <c r="B307" s="11"/>
      <c r="C307" s="11" t="s">
        <v>146</v>
      </c>
      <c r="D307" s="11" t="s">
        <v>181</v>
      </c>
      <c r="E307" s="80" t="s">
        <v>445</v>
      </c>
      <c r="F307" s="110" t="s">
        <v>376</v>
      </c>
      <c r="G307" s="34"/>
      <c r="H307" s="55"/>
      <c r="I307" s="55"/>
      <c r="J307" s="56"/>
      <c r="K307" s="55"/>
      <c r="L307" s="55"/>
      <c r="M307" s="207">
        <f t="shared" si="56"/>
        <v>50</v>
      </c>
      <c r="N307" s="207">
        <f t="shared" si="56"/>
        <v>50</v>
      </c>
      <c r="O307" s="262">
        <f t="shared" si="50"/>
        <v>100</v>
      </c>
      <c r="P307" s="146"/>
    </row>
    <row r="308" spans="1:16" ht="14.25">
      <c r="A308" s="6" t="s">
        <v>210</v>
      </c>
      <c r="B308" s="11"/>
      <c r="C308" s="11" t="s">
        <v>146</v>
      </c>
      <c r="D308" s="11" t="s">
        <v>181</v>
      </c>
      <c r="E308" s="80" t="s">
        <v>445</v>
      </c>
      <c r="F308" s="110" t="s">
        <v>376</v>
      </c>
      <c r="G308" s="34">
        <v>1</v>
      </c>
      <c r="H308" s="55"/>
      <c r="I308" s="55"/>
      <c r="J308" s="56"/>
      <c r="K308" s="55"/>
      <c r="L308" s="55"/>
      <c r="M308" s="207">
        <f>'проект бюджета 2013'!N480</f>
        <v>50</v>
      </c>
      <c r="N308" s="207">
        <f>'проект бюджета 2013'!O480</f>
        <v>50</v>
      </c>
      <c r="O308" s="262">
        <f t="shared" si="50"/>
        <v>100</v>
      </c>
      <c r="P308" s="146"/>
    </row>
    <row r="309" spans="1:16" ht="25.5">
      <c r="A309" s="105" t="s">
        <v>343</v>
      </c>
      <c r="B309" s="5"/>
      <c r="C309" s="11" t="s">
        <v>146</v>
      </c>
      <c r="D309" s="11" t="s">
        <v>181</v>
      </c>
      <c r="E309" s="12" t="s">
        <v>43</v>
      </c>
      <c r="F309" s="12"/>
      <c r="G309" s="12"/>
      <c r="H309" s="55">
        <f>H311</f>
        <v>1607</v>
      </c>
      <c r="I309" s="55">
        <f>I311</f>
        <v>1930</v>
      </c>
      <c r="J309" s="56">
        <f t="shared" si="53"/>
        <v>323</v>
      </c>
      <c r="K309" s="55">
        <f>K311</f>
        <v>2969</v>
      </c>
      <c r="L309" s="55">
        <f>L310</f>
        <v>2934.8</v>
      </c>
      <c r="M309" s="207">
        <f>M310</f>
        <v>2582.306</v>
      </c>
      <c r="N309" s="207">
        <f>N310</f>
        <v>2582.306</v>
      </c>
      <c r="O309" s="262">
        <f t="shared" si="50"/>
        <v>100</v>
      </c>
      <c r="P309" s="146"/>
    </row>
    <row r="310" spans="1:16" ht="25.5">
      <c r="A310" s="105" t="s">
        <v>341</v>
      </c>
      <c r="B310" s="5"/>
      <c r="C310" s="11" t="s">
        <v>146</v>
      </c>
      <c r="D310" s="11" t="s">
        <v>181</v>
      </c>
      <c r="E310" s="37" t="s">
        <v>342</v>
      </c>
      <c r="F310" s="12"/>
      <c r="G310" s="34"/>
      <c r="H310" s="55"/>
      <c r="I310" s="55"/>
      <c r="J310" s="56"/>
      <c r="K310" s="55"/>
      <c r="L310" s="55">
        <f>L311+L314</f>
        <v>2934.8</v>
      </c>
      <c r="M310" s="207">
        <f>M311+M314</f>
        <v>2582.306</v>
      </c>
      <c r="N310" s="207">
        <f>N311+N314</f>
        <v>2582.306</v>
      </c>
      <c r="O310" s="262">
        <f t="shared" si="50"/>
        <v>100</v>
      </c>
      <c r="P310" s="146"/>
    </row>
    <row r="311" spans="1:16" ht="38.25">
      <c r="A311" s="154" t="s">
        <v>319</v>
      </c>
      <c r="B311" s="6"/>
      <c r="C311" s="11" t="s">
        <v>146</v>
      </c>
      <c r="D311" s="11" t="s">
        <v>181</v>
      </c>
      <c r="E311" s="37" t="s">
        <v>342</v>
      </c>
      <c r="F311" s="13" t="s">
        <v>315</v>
      </c>
      <c r="G311" s="34"/>
      <c r="H311" s="55">
        <f>'проект бюджета 2013'!H483</f>
        <v>1607</v>
      </c>
      <c r="I311" s="55">
        <f>'проект бюджета 2013'!I483</f>
        <v>1930</v>
      </c>
      <c r="J311" s="56">
        <f>I311-H311</f>
        <v>323</v>
      </c>
      <c r="K311" s="55">
        <f>'проект бюджета 2013'!K483</f>
        <v>2969</v>
      </c>
      <c r="L311" s="55">
        <f>L312+L313</f>
        <v>2884.8</v>
      </c>
      <c r="M311" s="207">
        <f>M312+M313</f>
        <v>2511</v>
      </c>
      <c r="N311" s="207">
        <f>N312+N313</f>
        <v>2511</v>
      </c>
      <c r="O311" s="262">
        <f t="shared" si="50"/>
        <v>100</v>
      </c>
      <c r="P311" s="146"/>
    </row>
    <row r="312" spans="1:16" ht="15" customHeight="1">
      <c r="A312" s="6" t="s">
        <v>209</v>
      </c>
      <c r="B312" s="3"/>
      <c r="C312" s="11" t="s">
        <v>146</v>
      </c>
      <c r="D312" s="11" t="s">
        <v>181</v>
      </c>
      <c r="E312" s="37" t="s">
        <v>342</v>
      </c>
      <c r="F312" s="13" t="s">
        <v>315</v>
      </c>
      <c r="G312" s="157">
        <v>3</v>
      </c>
      <c r="H312" s="72">
        <f>'проект бюджета 2013'!H484</f>
        <v>1607</v>
      </c>
      <c r="I312" s="72">
        <f>'проект бюджета 2013'!I484</f>
        <v>1930</v>
      </c>
      <c r="J312" s="56">
        <f>I312-H312</f>
        <v>323</v>
      </c>
      <c r="K312" s="72">
        <f>'проект бюджета 2013'!K484</f>
        <v>2969</v>
      </c>
      <c r="L312" s="72">
        <f>'проект бюджета 2013'!M484</f>
        <v>2124.8</v>
      </c>
      <c r="M312" s="228">
        <f>'проект бюджета 2013'!N484</f>
        <v>1050</v>
      </c>
      <c r="N312" s="228">
        <f>'проект бюджета 2013'!O484</f>
        <v>1050</v>
      </c>
      <c r="O312" s="262">
        <f t="shared" si="50"/>
        <v>100</v>
      </c>
      <c r="P312" s="146"/>
    </row>
    <row r="313" spans="1:16" ht="27" customHeight="1">
      <c r="A313" s="51" t="s">
        <v>361</v>
      </c>
      <c r="B313" s="3"/>
      <c r="C313" s="11" t="s">
        <v>146</v>
      </c>
      <c r="D313" s="11" t="s">
        <v>181</v>
      </c>
      <c r="E313" s="37" t="s">
        <v>342</v>
      </c>
      <c r="F313" s="13" t="s">
        <v>315</v>
      </c>
      <c r="G313" s="34">
        <v>4</v>
      </c>
      <c r="H313" s="72"/>
      <c r="I313" s="72"/>
      <c r="J313" s="56"/>
      <c r="K313" s="72"/>
      <c r="L313" s="72">
        <f>'проект бюджета 2013'!M485</f>
        <v>760</v>
      </c>
      <c r="M313" s="228">
        <f>'проект бюджета 2013'!N485</f>
        <v>1461</v>
      </c>
      <c r="N313" s="228">
        <f>'проект бюджета 2013'!O485</f>
        <v>1461</v>
      </c>
      <c r="O313" s="262">
        <f t="shared" si="50"/>
        <v>100</v>
      </c>
      <c r="P313" s="146"/>
    </row>
    <row r="314" spans="1:16" ht="15" customHeight="1">
      <c r="A314" s="154" t="s">
        <v>318</v>
      </c>
      <c r="B314" s="3"/>
      <c r="C314" s="11" t="s">
        <v>146</v>
      </c>
      <c r="D314" s="11" t="s">
        <v>181</v>
      </c>
      <c r="E314" s="37" t="s">
        <v>342</v>
      </c>
      <c r="F314" s="13" t="s">
        <v>316</v>
      </c>
      <c r="G314" s="157"/>
      <c r="H314" s="72"/>
      <c r="I314" s="72"/>
      <c r="J314" s="56"/>
      <c r="K314" s="72"/>
      <c r="L314" s="72">
        <f>L315+L316</f>
        <v>50</v>
      </c>
      <c r="M314" s="228">
        <f>M315+M316</f>
        <v>71.306</v>
      </c>
      <c r="N314" s="228">
        <f>N315+N316</f>
        <v>71.306</v>
      </c>
      <c r="O314" s="262">
        <f t="shared" si="50"/>
        <v>100</v>
      </c>
      <c r="P314" s="146"/>
    </row>
    <row r="315" spans="1:16" ht="15" customHeight="1">
      <c r="A315" s="6" t="s">
        <v>209</v>
      </c>
      <c r="B315" s="3"/>
      <c r="C315" s="11" t="s">
        <v>146</v>
      </c>
      <c r="D315" s="11" t="s">
        <v>181</v>
      </c>
      <c r="E315" s="37" t="s">
        <v>342</v>
      </c>
      <c r="F315" s="13" t="s">
        <v>316</v>
      </c>
      <c r="G315" s="157">
        <v>3</v>
      </c>
      <c r="H315" s="72"/>
      <c r="I315" s="72"/>
      <c r="J315" s="56"/>
      <c r="K315" s="72"/>
      <c r="L315" s="72">
        <f>'проект бюджета 2013'!M487</f>
        <v>0</v>
      </c>
      <c r="M315" s="228">
        <f>'проект бюджета 2013'!N487</f>
        <v>0</v>
      </c>
      <c r="N315" s="228">
        <f>'проект бюджета 2013'!O487</f>
        <v>0</v>
      </c>
      <c r="O315" s="262"/>
      <c r="P315" s="146"/>
    </row>
    <row r="316" spans="1:16" ht="26.25" customHeight="1">
      <c r="A316" s="51" t="s">
        <v>361</v>
      </c>
      <c r="B316" s="3"/>
      <c r="C316" s="11" t="s">
        <v>146</v>
      </c>
      <c r="D316" s="11" t="s">
        <v>181</v>
      </c>
      <c r="E316" s="37" t="s">
        <v>342</v>
      </c>
      <c r="F316" s="13" t="s">
        <v>316</v>
      </c>
      <c r="G316" s="157">
        <v>4</v>
      </c>
      <c r="H316" s="72"/>
      <c r="I316" s="72"/>
      <c r="J316" s="56"/>
      <c r="K316" s="72"/>
      <c r="L316" s="72">
        <f>'проект бюджета 2013'!M488</f>
        <v>50</v>
      </c>
      <c r="M316" s="228">
        <f>'проект бюджета 2013'!N488</f>
        <v>71.306</v>
      </c>
      <c r="N316" s="228">
        <f>'проект бюджета 2013'!O488</f>
        <v>71.306</v>
      </c>
      <c r="O316" s="262">
        <f t="shared" si="50"/>
        <v>100</v>
      </c>
      <c r="P316" s="146"/>
    </row>
    <row r="317" spans="1:16" ht="14.25">
      <c r="A317" s="5" t="s">
        <v>11</v>
      </c>
      <c r="B317" s="5"/>
      <c r="C317" s="11" t="s">
        <v>146</v>
      </c>
      <c r="D317" s="11" t="s">
        <v>181</v>
      </c>
      <c r="E317" s="12" t="s">
        <v>88</v>
      </c>
      <c r="F317" s="12"/>
      <c r="G317" s="12"/>
      <c r="H317" s="55">
        <f>H318</f>
        <v>1153</v>
      </c>
      <c r="I317" s="55">
        <f>I318</f>
        <v>1500</v>
      </c>
      <c r="J317" s="56">
        <f>I317-H317</f>
        <v>347</v>
      </c>
      <c r="K317" s="55">
        <f>K318</f>
        <v>1615</v>
      </c>
      <c r="L317" s="55">
        <f>L318</f>
        <v>2005</v>
      </c>
      <c r="M317" s="207">
        <f>M318</f>
        <v>1666</v>
      </c>
      <c r="N317" s="207">
        <f>N318</f>
        <v>1666</v>
      </c>
      <c r="O317" s="262">
        <f t="shared" si="50"/>
        <v>100</v>
      </c>
      <c r="P317" s="146"/>
    </row>
    <row r="318" spans="1:16" ht="25.5">
      <c r="A318" s="105" t="s">
        <v>343</v>
      </c>
      <c r="B318" s="5"/>
      <c r="C318" s="11" t="s">
        <v>146</v>
      </c>
      <c r="D318" s="11" t="s">
        <v>181</v>
      </c>
      <c r="E318" s="12" t="s">
        <v>44</v>
      </c>
      <c r="F318" s="12"/>
      <c r="G318" s="12"/>
      <c r="H318" s="55">
        <f>H319</f>
        <v>1153</v>
      </c>
      <c r="I318" s="55">
        <f>I319</f>
        <v>1500</v>
      </c>
      <c r="J318" s="56">
        <f>I318-H318</f>
        <v>347</v>
      </c>
      <c r="K318" s="55">
        <f>K319</f>
        <v>1615</v>
      </c>
      <c r="L318" s="55">
        <f>L319+L322</f>
        <v>2005</v>
      </c>
      <c r="M318" s="207">
        <f>M319+M322</f>
        <v>1666</v>
      </c>
      <c r="N318" s="207">
        <f>N319+N322</f>
        <v>1666</v>
      </c>
      <c r="O318" s="262">
        <f t="shared" si="50"/>
        <v>100</v>
      </c>
      <c r="P318" s="146"/>
    </row>
    <row r="319" spans="1:16" ht="38.25">
      <c r="A319" s="154" t="s">
        <v>319</v>
      </c>
      <c r="B319" s="6"/>
      <c r="C319" s="11" t="s">
        <v>146</v>
      </c>
      <c r="D319" s="11" t="s">
        <v>181</v>
      </c>
      <c r="E319" s="12" t="s">
        <v>44</v>
      </c>
      <c r="F319" s="13" t="s">
        <v>315</v>
      </c>
      <c r="G319" s="34"/>
      <c r="H319" s="55">
        <f>'проект бюджета 2013'!H491</f>
        <v>1153</v>
      </c>
      <c r="I319" s="55">
        <f>'проект бюджета 2013'!I491</f>
        <v>1500</v>
      </c>
      <c r="J319" s="56">
        <f>I319-H319</f>
        <v>347</v>
      </c>
      <c r="K319" s="55">
        <f>'проект бюджета 2013'!K491</f>
        <v>1615</v>
      </c>
      <c r="L319" s="55">
        <f>L320+L321</f>
        <v>1943.4</v>
      </c>
      <c r="M319" s="207">
        <f>M320+M321</f>
        <v>1636</v>
      </c>
      <c r="N319" s="207">
        <f>N320+N321</f>
        <v>1636</v>
      </c>
      <c r="O319" s="262">
        <f t="shared" si="50"/>
        <v>100</v>
      </c>
      <c r="P319" s="146"/>
    </row>
    <row r="320" spans="1:16" ht="15" customHeight="1">
      <c r="A320" s="6" t="s">
        <v>209</v>
      </c>
      <c r="B320" s="3"/>
      <c r="C320" s="11" t="s">
        <v>146</v>
      </c>
      <c r="D320" s="11" t="s">
        <v>181</v>
      </c>
      <c r="E320" s="12" t="s">
        <v>44</v>
      </c>
      <c r="F320" s="13" t="s">
        <v>315</v>
      </c>
      <c r="G320" s="157">
        <v>3</v>
      </c>
      <c r="H320" s="72">
        <f>'проект бюджета 2013'!H492</f>
        <v>1153</v>
      </c>
      <c r="I320" s="72">
        <f>'проект бюджета 2013'!I492</f>
        <v>1500</v>
      </c>
      <c r="J320" s="56">
        <f>I320-H320</f>
        <v>347</v>
      </c>
      <c r="K320" s="72">
        <f>'проект бюджета 2013'!K492</f>
        <v>1615</v>
      </c>
      <c r="L320" s="72">
        <f>'проект бюджета 2013'!M492</f>
        <v>1703.4</v>
      </c>
      <c r="M320" s="228">
        <f>'проект бюджета 2013'!N492</f>
        <v>1208</v>
      </c>
      <c r="N320" s="228">
        <f>'проект бюджета 2013'!O492</f>
        <v>1208</v>
      </c>
      <c r="O320" s="262">
        <f t="shared" si="50"/>
        <v>100</v>
      </c>
      <c r="P320" s="146"/>
    </row>
    <row r="321" spans="1:16" ht="26.25" customHeight="1">
      <c r="A321" s="51" t="s">
        <v>361</v>
      </c>
      <c r="B321" s="3"/>
      <c r="C321" s="11" t="s">
        <v>146</v>
      </c>
      <c r="D321" s="11" t="s">
        <v>181</v>
      </c>
      <c r="E321" s="12" t="s">
        <v>44</v>
      </c>
      <c r="F321" s="13" t="s">
        <v>315</v>
      </c>
      <c r="G321" s="34">
        <v>4</v>
      </c>
      <c r="H321" s="72"/>
      <c r="I321" s="72"/>
      <c r="J321" s="56"/>
      <c r="K321" s="72"/>
      <c r="L321" s="72">
        <f>'проект бюджета 2013'!M493</f>
        <v>240</v>
      </c>
      <c r="M321" s="228">
        <f>'проект бюджета 2013'!N493</f>
        <v>428</v>
      </c>
      <c r="N321" s="228">
        <f>'проект бюджета 2013'!O493</f>
        <v>428</v>
      </c>
      <c r="O321" s="262">
        <f t="shared" si="50"/>
        <v>100</v>
      </c>
      <c r="P321" s="146"/>
    </row>
    <row r="322" spans="1:16" ht="15" customHeight="1">
      <c r="A322" s="154" t="s">
        <v>318</v>
      </c>
      <c r="B322" s="3"/>
      <c r="C322" s="11" t="s">
        <v>146</v>
      </c>
      <c r="D322" s="11" t="s">
        <v>181</v>
      </c>
      <c r="E322" s="12" t="s">
        <v>44</v>
      </c>
      <c r="F322" s="13" t="s">
        <v>316</v>
      </c>
      <c r="G322" s="157"/>
      <c r="H322" s="72"/>
      <c r="I322" s="72"/>
      <c r="J322" s="56"/>
      <c r="K322" s="72"/>
      <c r="L322" s="72">
        <f>L323+L324</f>
        <v>61.6</v>
      </c>
      <c r="M322" s="228">
        <f>M323+M324</f>
        <v>30</v>
      </c>
      <c r="N322" s="228">
        <f>N323+N324</f>
        <v>30</v>
      </c>
      <c r="O322" s="262">
        <f t="shared" si="50"/>
        <v>100</v>
      </c>
      <c r="P322" s="146"/>
    </row>
    <row r="323" spans="1:16" ht="15" customHeight="1">
      <c r="A323" s="6" t="s">
        <v>209</v>
      </c>
      <c r="B323" s="3"/>
      <c r="C323" s="11" t="s">
        <v>146</v>
      </c>
      <c r="D323" s="11" t="s">
        <v>181</v>
      </c>
      <c r="E323" s="12" t="s">
        <v>44</v>
      </c>
      <c r="F323" s="13" t="s">
        <v>316</v>
      </c>
      <c r="G323" s="157">
        <v>3</v>
      </c>
      <c r="H323" s="72"/>
      <c r="I323" s="72"/>
      <c r="J323" s="56"/>
      <c r="K323" s="72"/>
      <c r="L323" s="72">
        <f>'проект бюджета 2013'!M495</f>
        <v>11.6</v>
      </c>
      <c r="M323" s="228">
        <f>'проект бюджета 2013'!N495</f>
        <v>0</v>
      </c>
      <c r="N323" s="228">
        <f>'проект бюджета 2013'!O495</f>
        <v>0</v>
      </c>
      <c r="O323" s="262"/>
      <c r="P323" s="146"/>
    </row>
    <row r="324" spans="1:16" ht="27.75" customHeight="1">
      <c r="A324" s="51" t="s">
        <v>361</v>
      </c>
      <c r="B324" s="3"/>
      <c r="C324" s="11" t="s">
        <v>146</v>
      </c>
      <c r="D324" s="11" t="s">
        <v>181</v>
      </c>
      <c r="E324" s="12" t="s">
        <v>44</v>
      </c>
      <c r="F324" s="13" t="s">
        <v>316</v>
      </c>
      <c r="G324" s="157">
        <v>4</v>
      </c>
      <c r="H324" s="72"/>
      <c r="I324" s="72"/>
      <c r="J324" s="56"/>
      <c r="K324" s="72"/>
      <c r="L324" s="72">
        <f>'проект бюджета 2013'!M496</f>
        <v>50</v>
      </c>
      <c r="M324" s="228">
        <f>'проект бюджета 2013'!N496</f>
        <v>30</v>
      </c>
      <c r="N324" s="228">
        <f>'проект бюджета 2013'!O496</f>
        <v>30</v>
      </c>
      <c r="O324" s="262">
        <f t="shared" si="50"/>
        <v>100</v>
      </c>
      <c r="P324" s="146"/>
    </row>
    <row r="325" spans="1:16" ht="53.25" customHeight="1">
      <c r="A325" s="105" t="s">
        <v>451</v>
      </c>
      <c r="B325" s="3"/>
      <c r="C325" s="11" t="s">
        <v>146</v>
      </c>
      <c r="D325" s="11" t="s">
        <v>181</v>
      </c>
      <c r="E325" s="37" t="s">
        <v>452</v>
      </c>
      <c r="F325" s="13"/>
      <c r="G325" s="34"/>
      <c r="H325" s="72"/>
      <c r="I325" s="72"/>
      <c r="J325" s="56"/>
      <c r="K325" s="72"/>
      <c r="L325" s="72"/>
      <c r="M325" s="207">
        <f>M326+M328</f>
        <v>0</v>
      </c>
      <c r="N325" s="207">
        <f>N326+N328</f>
        <v>501</v>
      </c>
      <c r="O325" s="262"/>
      <c r="P325" s="146"/>
    </row>
    <row r="326" spans="1:16" ht="14.25" customHeight="1">
      <c r="A326" s="51" t="s">
        <v>195</v>
      </c>
      <c r="B326" s="3"/>
      <c r="C326" s="11" t="s">
        <v>146</v>
      </c>
      <c r="D326" s="11" t="s">
        <v>181</v>
      </c>
      <c r="E326" s="37" t="s">
        <v>452</v>
      </c>
      <c r="F326" s="13" t="s">
        <v>376</v>
      </c>
      <c r="G326" s="34"/>
      <c r="H326" s="72"/>
      <c r="I326" s="72"/>
      <c r="J326" s="56"/>
      <c r="K326" s="72"/>
      <c r="L326" s="72"/>
      <c r="M326" s="207">
        <f>M327</f>
        <v>0</v>
      </c>
      <c r="N326" s="207">
        <f>N327</f>
        <v>344.704</v>
      </c>
      <c r="O326" s="262"/>
      <c r="P326" s="146"/>
    </row>
    <row r="327" spans="1:16" ht="16.5" customHeight="1">
      <c r="A327" s="153" t="s">
        <v>211</v>
      </c>
      <c r="B327" s="3"/>
      <c r="C327" s="11" t="s">
        <v>146</v>
      </c>
      <c r="D327" s="11" t="s">
        <v>181</v>
      </c>
      <c r="E327" s="37" t="s">
        <v>452</v>
      </c>
      <c r="F327" s="13" t="s">
        <v>376</v>
      </c>
      <c r="G327" s="34">
        <v>2</v>
      </c>
      <c r="H327" s="72"/>
      <c r="I327" s="72"/>
      <c r="J327" s="56"/>
      <c r="K327" s="72"/>
      <c r="L327" s="72"/>
      <c r="M327" s="207">
        <f>'проект бюджета 2013'!N499</f>
        <v>0</v>
      </c>
      <c r="N327" s="207">
        <f>'проект бюджета 2013'!O499</f>
        <v>344.704</v>
      </c>
      <c r="O327" s="262"/>
      <c r="P327" s="146"/>
    </row>
    <row r="328" spans="1:16" ht="40.5" customHeight="1">
      <c r="A328" s="6" t="s">
        <v>319</v>
      </c>
      <c r="B328" s="3"/>
      <c r="C328" s="11" t="s">
        <v>146</v>
      </c>
      <c r="D328" s="11" t="s">
        <v>181</v>
      </c>
      <c r="E328" s="37" t="s">
        <v>452</v>
      </c>
      <c r="F328" s="13" t="s">
        <v>315</v>
      </c>
      <c r="G328" s="34"/>
      <c r="H328" s="72"/>
      <c r="I328" s="72"/>
      <c r="J328" s="56"/>
      <c r="K328" s="72"/>
      <c r="L328" s="72"/>
      <c r="M328" s="228">
        <f>M329</f>
        <v>0</v>
      </c>
      <c r="N328" s="207">
        <f>N329</f>
        <v>156.296</v>
      </c>
      <c r="O328" s="262"/>
      <c r="P328" s="146"/>
    </row>
    <row r="329" spans="1:16" ht="14.25" customHeight="1">
      <c r="A329" s="153" t="s">
        <v>211</v>
      </c>
      <c r="B329" s="3"/>
      <c r="C329" s="11" t="s">
        <v>146</v>
      </c>
      <c r="D329" s="11" t="s">
        <v>181</v>
      </c>
      <c r="E329" s="37" t="s">
        <v>452</v>
      </c>
      <c r="F329" s="13" t="s">
        <v>315</v>
      </c>
      <c r="G329" s="34">
        <v>2</v>
      </c>
      <c r="H329" s="72"/>
      <c r="I329" s="72"/>
      <c r="J329" s="56"/>
      <c r="K329" s="72"/>
      <c r="L329" s="72"/>
      <c r="M329" s="228">
        <f>'проект бюджета 2013'!N501</f>
        <v>0</v>
      </c>
      <c r="N329" s="207">
        <f>'проект бюджета 2013'!O501</f>
        <v>156.296</v>
      </c>
      <c r="O329" s="262"/>
      <c r="P329" s="146"/>
    </row>
    <row r="330" spans="1:16" ht="27.75" customHeight="1">
      <c r="A330" s="105" t="s">
        <v>377</v>
      </c>
      <c r="B330" s="3"/>
      <c r="C330" s="11" t="s">
        <v>146</v>
      </c>
      <c r="D330" s="11" t="s">
        <v>181</v>
      </c>
      <c r="E330" s="12" t="s">
        <v>161</v>
      </c>
      <c r="F330" s="13"/>
      <c r="G330" s="34"/>
      <c r="H330" s="72"/>
      <c r="I330" s="72"/>
      <c r="J330" s="56"/>
      <c r="K330" s="72"/>
      <c r="L330" s="55">
        <f aca="true" t="shared" si="57" ref="L330:O331">L331</f>
        <v>0</v>
      </c>
      <c r="M330" s="207">
        <f t="shared" si="57"/>
        <v>65.4</v>
      </c>
      <c r="N330" s="207">
        <f t="shared" si="57"/>
        <v>65.4</v>
      </c>
      <c r="O330" s="262">
        <f t="shared" si="50"/>
        <v>100</v>
      </c>
      <c r="P330" s="146"/>
    </row>
    <row r="331" spans="1:16" ht="18" customHeight="1">
      <c r="A331" s="154" t="s">
        <v>318</v>
      </c>
      <c r="B331" s="3"/>
      <c r="C331" s="11" t="s">
        <v>146</v>
      </c>
      <c r="D331" s="11" t="s">
        <v>181</v>
      </c>
      <c r="E331" s="12" t="s">
        <v>161</v>
      </c>
      <c r="F331" s="13" t="s">
        <v>316</v>
      </c>
      <c r="G331" s="157"/>
      <c r="H331" s="72"/>
      <c r="I331" s="72"/>
      <c r="J331" s="56"/>
      <c r="K331" s="72"/>
      <c r="L331" s="55">
        <f t="shared" si="57"/>
        <v>0</v>
      </c>
      <c r="M331" s="207">
        <f t="shared" si="57"/>
        <v>65.4</v>
      </c>
      <c r="N331" s="207">
        <f t="shared" si="57"/>
        <v>65.4</v>
      </c>
      <c r="O331" s="262">
        <f t="shared" si="50"/>
        <v>100</v>
      </c>
      <c r="P331" s="146"/>
    </row>
    <row r="332" spans="1:16" ht="18" customHeight="1">
      <c r="A332" s="6" t="s">
        <v>211</v>
      </c>
      <c r="B332" s="3"/>
      <c r="C332" s="11" t="s">
        <v>146</v>
      </c>
      <c r="D332" s="11" t="s">
        <v>181</v>
      </c>
      <c r="E332" s="12" t="s">
        <v>161</v>
      </c>
      <c r="F332" s="13" t="s">
        <v>316</v>
      </c>
      <c r="G332" s="157">
        <v>2</v>
      </c>
      <c r="H332" s="72"/>
      <c r="I332" s="72"/>
      <c r="J332" s="56"/>
      <c r="K332" s="72"/>
      <c r="L332" s="55">
        <f>'проект бюджета 2013'!M504</f>
        <v>0</v>
      </c>
      <c r="M332" s="207">
        <f>'проект бюджета 2013'!N504</f>
        <v>65.4</v>
      </c>
      <c r="N332" s="207">
        <f>'проект бюджета 2013'!O504</f>
        <v>65.4</v>
      </c>
      <c r="O332" s="262">
        <f t="shared" si="50"/>
        <v>100</v>
      </c>
      <c r="P332" s="146"/>
    </row>
    <row r="333" spans="1:16" ht="28.5">
      <c r="A333" s="4" t="s">
        <v>123</v>
      </c>
      <c r="B333" s="4"/>
      <c r="C333" s="11" t="s">
        <v>146</v>
      </c>
      <c r="D333" s="11" t="s">
        <v>253</v>
      </c>
      <c r="E333" s="11">
        <v>0</v>
      </c>
      <c r="F333" s="11"/>
      <c r="G333" s="11"/>
      <c r="H333" s="55" t="e">
        <f>H334+H338+#REF!</f>
        <v>#REF!</v>
      </c>
      <c r="I333" s="55" t="e">
        <f>I334+I338+#REF!</f>
        <v>#REF!</v>
      </c>
      <c r="J333" s="56" t="e">
        <f aca="true" t="shared" si="58" ref="J333:J338">I333-H333</f>
        <v>#REF!</v>
      </c>
      <c r="K333" s="55" t="e">
        <f>K334+K338+#REF!</f>
        <v>#REF!</v>
      </c>
      <c r="L333" s="55" t="e">
        <f>L334+L338</f>
        <v>#REF!</v>
      </c>
      <c r="M333" s="207">
        <f>M334+M338</f>
        <v>874</v>
      </c>
      <c r="N333" s="207">
        <f>N334+N338</f>
        <v>874</v>
      </c>
      <c r="O333" s="262">
        <f t="shared" si="50"/>
        <v>100</v>
      </c>
      <c r="P333" s="146"/>
    </row>
    <row r="334" spans="1:16" ht="38.25">
      <c r="A334" s="5" t="s">
        <v>1</v>
      </c>
      <c r="B334" s="5"/>
      <c r="C334" s="11" t="s">
        <v>146</v>
      </c>
      <c r="D334" s="11" t="s">
        <v>253</v>
      </c>
      <c r="E334" s="12" t="s">
        <v>0</v>
      </c>
      <c r="F334" s="12"/>
      <c r="G334" s="12"/>
      <c r="H334" s="55" t="e">
        <f aca="true" t="shared" si="59" ref="H334:O336">H335</f>
        <v>#REF!</v>
      </c>
      <c r="I334" s="55" t="e">
        <f t="shared" si="59"/>
        <v>#REF!</v>
      </c>
      <c r="J334" s="56" t="e">
        <f t="shared" si="58"/>
        <v>#REF!</v>
      </c>
      <c r="K334" s="55" t="e">
        <f t="shared" si="59"/>
        <v>#REF!</v>
      </c>
      <c r="L334" s="55" t="e">
        <f t="shared" si="59"/>
        <v>#REF!</v>
      </c>
      <c r="M334" s="207">
        <f t="shared" si="59"/>
        <v>546.2</v>
      </c>
      <c r="N334" s="207">
        <f t="shared" si="59"/>
        <v>546.2</v>
      </c>
      <c r="O334" s="262">
        <f t="shared" si="50"/>
        <v>100</v>
      </c>
      <c r="P334" s="146"/>
    </row>
    <row r="335" spans="1:16" ht="14.25">
      <c r="A335" s="5" t="s">
        <v>86</v>
      </c>
      <c r="B335" s="5"/>
      <c r="C335" s="11" t="s">
        <v>146</v>
      </c>
      <c r="D335" s="11" t="s">
        <v>253</v>
      </c>
      <c r="E335" s="12" t="s">
        <v>2</v>
      </c>
      <c r="F335" s="12"/>
      <c r="G335" s="12"/>
      <c r="H335" s="55" t="e">
        <f t="shared" si="59"/>
        <v>#REF!</v>
      </c>
      <c r="I335" s="55" t="e">
        <f t="shared" si="59"/>
        <v>#REF!</v>
      </c>
      <c r="J335" s="56" t="e">
        <f t="shared" si="58"/>
        <v>#REF!</v>
      </c>
      <c r="K335" s="55" t="e">
        <f t="shared" si="59"/>
        <v>#REF!</v>
      </c>
      <c r="L335" s="55" t="e">
        <f t="shared" si="59"/>
        <v>#REF!</v>
      </c>
      <c r="M335" s="207">
        <f t="shared" si="59"/>
        <v>546.2</v>
      </c>
      <c r="N335" s="207">
        <f t="shared" si="59"/>
        <v>546.2</v>
      </c>
      <c r="O335" s="262">
        <f t="shared" si="50"/>
        <v>100</v>
      </c>
      <c r="P335" s="146"/>
    </row>
    <row r="336" spans="1:16" ht="25.5">
      <c r="A336" s="6" t="s">
        <v>97</v>
      </c>
      <c r="B336" s="6"/>
      <c r="C336" s="11" t="s">
        <v>146</v>
      </c>
      <c r="D336" s="11" t="s">
        <v>253</v>
      </c>
      <c r="E336" s="12" t="s">
        <v>2</v>
      </c>
      <c r="F336" s="115" t="s">
        <v>323</v>
      </c>
      <c r="G336" s="13"/>
      <c r="H336" s="55" t="e">
        <f t="shared" si="59"/>
        <v>#REF!</v>
      </c>
      <c r="I336" s="55" t="e">
        <f t="shared" si="59"/>
        <v>#REF!</v>
      </c>
      <c r="J336" s="56" t="e">
        <f t="shared" si="58"/>
        <v>#REF!</v>
      </c>
      <c r="K336" s="55" t="e">
        <f t="shared" si="59"/>
        <v>#REF!</v>
      </c>
      <c r="L336" s="55" t="e">
        <f t="shared" si="59"/>
        <v>#REF!</v>
      </c>
      <c r="M336" s="207">
        <f t="shared" si="59"/>
        <v>546.2</v>
      </c>
      <c r="N336" s="207">
        <f t="shared" si="59"/>
        <v>546.2</v>
      </c>
      <c r="O336" s="262">
        <f t="shared" si="50"/>
        <v>100</v>
      </c>
      <c r="P336" s="146"/>
    </row>
    <row r="337" spans="1:16" ht="14.25">
      <c r="A337" s="6" t="s">
        <v>209</v>
      </c>
      <c r="B337" s="3"/>
      <c r="C337" s="11" t="s">
        <v>146</v>
      </c>
      <c r="D337" s="11" t="s">
        <v>253</v>
      </c>
      <c r="E337" s="12" t="s">
        <v>2</v>
      </c>
      <c r="F337" s="115" t="s">
        <v>323</v>
      </c>
      <c r="G337" s="156" t="s">
        <v>212</v>
      </c>
      <c r="H337" s="72" t="e">
        <f>'проект бюджета 2013'!#REF!+'проект бюджета 2013'!H512</f>
        <v>#REF!</v>
      </c>
      <c r="I337" s="72" t="e">
        <f>'проект бюджета 2013'!#REF!+'проект бюджета 2013'!I512</f>
        <v>#REF!</v>
      </c>
      <c r="J337" s="56" t="e">
        <f t="shared" si="58"/>
        <v>#REF!</v>
      </c>
      <c r="K337" s="72" t="e">
        <f>'проект бюджета 2013'!#REF!+'проект бюджета 2013'!K512</f>
        <v>#REF!</v>
      </c>
      <c r="L337" s="72" t="e">
        <f>'проект бюджета 2013'!#REF!+'проект бюджета 2013'!M512</f>
        <v>#REF!</v>
      </c>
      <c r="M337" s="228">
        <f>'проект бюджета 2013'!N512</f>
        <v>546.2</v>
      </c>
      <c r="N337" s="228">
        <f>'проект бюджета 2013'!O512</f>
        <v>546.2</v>
      </c>
      <c r="O337" s="262">
        <f aca="true" t="shared" si="60" ref="O337:O400">N337/M337*100</f>
        <v>100</v>
      </c>
      <c r="P337" s="146"/>
    </row>
    <row r="338" spans="1:16" ht="51">
      <c r="A338" s="105" t="s">
        <v>8</v>
      </c>
      <c r="B338" s="5"/>
      <c r="C338" s="11" t="s">
        <v>146</v>
      </c>
      <c r="D338" s="11" t="s">
        <v>253</v>
      </c>
      <c r="E338" s="12" t="s">
        <v>9</v>
      </c>
      <c r="F338" s="12"/>
      <c r="G338" s="12"/>
      <c r="H338" s="55" t="e">
        <f>#REF!</f>
        <v>#REF!</v>
      </c>
      <c r="I338" s="55" t="e">
        <f>#REF!</f>
        <v>#REF!</v>
      </c>
      <c r="J338" s="56" t="e">
        <f t="shared" si="58"/>
        <v>#REF!</v>
      </c>
      <c r="K338" s="55" t="e">
        <f>#REF!</f>
        <v>#REF!</v>
      </c>
      <c r="L338" s="55" t="e">
        <f>#REF!+L339</f>
        <v>#REF!</v>
      </c>
      <c r="M338" s="207">
        <f>M339</f>
        <v>327.8</v>
      </c>
      <c r="N338" s="207">
        <f>N339</f>
        <v>327.8</v>
      </c>
      <c r="O338" s="262">
        <f t="shared" si="60"/>
        <v>100</v>
      </c>
      <c r="P338" s="146"/>
    </row>
    <row r="339" spans="1:16" ht="25.5">
      <c r="A339" s="105" t="s">
        <v>373</v>
      </c>
      <c r="B339" s="5"/>
      <c r="C339" s="11" t="s">
        <v>146</v>
      </c>
      <c r="D339" s="11" t="s">
        <v>253</v>
      </c>
      <c r="E339" s="37" t="s">
        <v>372</v>
      </c>
      <c r="F339" s="12"/>
      <c r="G339" s="12"/>
      <c r="H339" s="55"/>
      <c r="I339" s="55"/>
      <c r="J339" s="56"/>
      <c r="K339" s="55"/>
      <c r="L339" s="55">
        <f aca="true" t="shared" si="61" ref="L339:O340">L340</f>
        <v>297</v>
      </c>
      <c r="M339" s="207">
        <f t="shared" si="61"/>
        <v>327.8</v>
      </c>
      <c r="N339" s="207">
        <f t="shared" si="61"/>
        <v>327.8</v>
      </c>
      <c r="O339" s="262">
        <f t="shared" si="60"/>
        <v>100</v>
      </c>
      <c r="P339" s="146"/>
    </row>
    <row r="340" spans="1:16" ht="25.5">
      <c r="A340" s="6" t="s">
        <v>97</v>
      </c>
      <c r="B340" s="5"/>
      <c r="C340" s="11" t="s">
        <v>146</v>
      </c>
      <c r="D340" s="11" t="s">
        <v>253</v>
      </c>
      <c r="E340" s="37" t="s">
        <v>372</v>
      </c>
      <c r="F340" s="13" t="s">
        <v>323</v>
      </c>
      <c r="G340" s="34"/>
      <c r="H340" s="55"/>
      <c r="I340" s="55"/>
      <c r="J340" s="56"/>
      <c r="K340" s="55"/>
      <c r="L340" s="55">
        <f t="shared" si="61"/>
        <v>297</v>
      </c>
      <c r="M340" s="207">
        <f t="shared" si="61"/>
        <v>327.8</v>
      </c>
      <c r="N340" s="207">
        <f t="shared" si="61"/>
        <v>327.8</v>
      </c>
      <c r="O340" s="262">
        <f t="shared" si="60"/>
        <v>100</v>
      </c>
      <c r="P340" s="146"/>
    </row>
    <row r="341" spans="1:16" ht="14.25">
      <c r="A341" s="6" t="s">
        <v>209</v>
      </c>
      <c r="B341" s="5"/>
      <c r="C341" s="11" t="s">
        <v>146</v>
      </c>
      <c r="D341" s="11" t="s">
        <v>253</v>
      </c>
      <c r="E341" s="37" t="s">
        <v>372</v>
      </c>
      <c r="F341" s="13" t="s">
        <v>323</v>
      </c>
      <c r="G341" s="157">
        <v>3</v>
      </c>
      <c r="H341" s="55"/>
      <c r="I341" s="55"/>
      <c r="J341" s="56"/>
      <c r="K341" s="55"/>
      <c r="L341" s="55">
        <f>'проект бюджета 2013'!M520</f>
        <v>297</v>
      </c>
      <c r="M341" s="207">
        <f>'проект бюджета 2013'!N520</f>
        <v>327.8</v>
      </c>
      <c r="N341" s="207">
        <f>'проект бюджета 2013'!O520</f>
        <v>327.8</v>
      </c>
      <c r="O341" s="262">
        <f t="shared" si="60"/>
        <v>100</v>
      </c>
      <c r="P341" s="146"/>
    </row>
    <row r="342" spans="1:16" ht="14.25">
      <c r="A342" s="3" t="s">
        <v>255</v>
      </c>
      <c r="B342" s="3"/>
      <c r="C342" s="10" t="s">
        <v>147</v>
      </c>
      <c r="D342" s="10">
        <v>0</v>
      </c>
      <c r="E342" s="10">
        <v>0</v>
      </c>
      <c r="F342" s="10">
        <v>0</v>
      </c>
      <c r="G342" s="10">
        <v>0</v>
      </c>
      <c r="H342" s="55" t="e">
        <f>#REF!+#REF!+#REF!+#REF!+#REF!+#REF!</f>
        <v>#REF!</v>
      </c>
      <c r="I342" s="55" t="e">
        <f>#REF!+#REF!+#REF!+#REF!+#REF!+#REF!+I343</f>
        <v>#REF!</v>
      </c>
      <c r="J342" s="56" t="e">
        <f>I342-H342</f>
        <v>#REF!</v>
      </c>
      <c r="K342" s="55" t="e">
        <f>#REF!+#REF!+#REF!+#REF!+#REF!+#REF!+K343</f>
        <v>#REF!</v>
      </c>
      <c r="L342" s="55">
        <f>L343</f>
        <v>50</v>
      </c>
      <c r="M342" s="207">
        <f>M343</f>
        <v>500</v>
      </c>
      <c r="N342" s="207">
        <f>N343</f>
        <v>500</v>
      </c>
      <c r="O342" s="262">
        <f t="shared" si="60"/>
        <v>100</v>
      </c>
      <c r="P342" s="146"/>
    </row>
    <row r="343" spans="1:16" ht="30.75" customHeight="1">
      <c r="A343" s="4" t="s">
        <v>278</v>
      </c>
      <c r="B343" s="6"/>
      <c r="C343" s="12" t="s">
        <v>147</v>
      </c>
      <c r="D343" s="12" t="s">
        <v>268</v>
      </c>
      <c r="E343" s="12"/>
      <c r="F343" s="13"/>
      <c r="G343" s="34"/>
      <c r="H343" s="55"/>
      <c r="I343" s="55" t="e">
        <f>I344</f>
        <v>#REF!</v>
      </c>
      <c r="J343" s="56"/>
      <c r="K343" s="55" t="e">
        <f aca="true" t="shared" si="62" ref="K343:O346">K344</f>
        <v>#REF!</v>
      </c>
      <c r="L343" s="55">
        <f t="shared" si="62"/>
        <v>50</v>
      </c>
      <c r="M343" s="207">
        <f t="shared" si="62"/>
        <v>500</v>
      </c>
      <c r="N343" s="207">
        <f t="shared" si="62"/>
        <v>500</v>
      </c>
      <c r="O343" s="262">
        <f t="shared" si="60"/>
        <v>100</v>
      </c>
      <c r="P343" s="146"/>
    </row>
    <row r="344" spans="1:16" ht="15" customHeight="1">
      <c r="A344" s="109" t="s">
        <v>221</v>
      </c>
      <c r="B344" s="6"/>
      <c r="C344" s="12" t="s">
        <v>147</v>
      </c>
      <c r="D344" s="12" t="s">
        <v>268</v>
      </c>
      <c r="E344" s="37" t="s">
        <v>156</v>
      </c>
      <c r="F344" s="33"/>
      <c r="G344" s="34"/>
      <c r="H344" s="55"/>
      <c r="I344" s="55" t="e">
        <f>#REF!</f>
        <v>#REF!</v>
      </c>
      <c r="J344" s="56"/>
      <c r="K344" s="55" t="e">
        <f>#REF!</f>
        <v>#REF!</v>
      </c>
      <c r="L344" s="55">
        <f>L345</f>
        <v>50</v>
      </c>
      <c r="M344" s="207">
        <f>M345</f>
        <v>500</v>
      </c>
      <c r="N344" s="207">
        <f>N345</f>
        <v>500</v>
      </c>
      <c r="O344" s="262">
        <f t="shared" si="60"/>
        <v>100</v>
      </c>
      <c r="P344" s="146"/>
    </row>
    <row r="345" spans="1:16" ht="33" customHeight="1">
      <c r="A345" s="38" t="s">
        <v>267</v>
      </c>
      <c r="B345" s="6"/>
      <c r="C345" s="12" t="s">
        <v>147</v>
      </c>
      <c r="D345" s="12" t="s">
        <v>268</v>
      </c>
      <c r="E345" s="39">
        <v>7950010</v>
      </c>
      <c r="F345" s="33"/>
      <c r="G345" s="34"/>
      <c r="H345" s="55"/>
      <c r="I345" s="55" t="e">
        <f>I346</f>
        <v>#REF!</v>
      </c>
      <c r="J345" s="56"/>
      <c r="K345" s="55" t="e">
        <f t="shared" si="62"/>
        <v>#REF!</v>
      </c>
      <c r="L345" s="55">
        <f t="shared" si="62"/>
        <v>50</v>
      </c>
      <c r="M345" s="207">
        <f t="shared" si="62"/>
        <v>500</v>
      </c>
      <c r="N345" s="207">
        <f t="shared" si="62"/>
        <v>500</v>
      </c>
      <c r="O345" s="262">
        <f t="shared" si="60"/>
        <v>100</v>
      </c>
      <c r="P345" s="146"/>
    </row>
    <row r="346" spans="1:16" ht="38.25" customHeight="1">
      <c r="A346" s="6" t="s">
        <v>97</v>
      </c>
      <c r="B346" s="6"/>
      <c r="C346" s="12" t="s">
        <v>147</v>
      </c>
      <c r="D346" s="12" t="s">
        <v>268</v>
      </c>
      <c r="E346" s="39">
        <v>7950010</v>
      </c>
      <c r="F346" s="13" t="s">
        <v>323</v>
      </c>
      <c r="G346" s="34"/>
      <c r="H346" s="55"/>
      <c r="I346" s="55" t="e">
        <f>I347</f>
        <v>#REF!</v>
      </c>
      <c r="J346" s="56"/>
      <c r="K346" s="55" t="e">
        <f t="shared" si="62"/>
        <v>#REF!</v>
      </c>
      <c r="L346" s="55">
        <f t="shared" si="62"/>
        <v>50</v>
      </c>
      <c r="M346" s="207">
        <f t="shared" si="62"/>
        <v>500</v>
      </c>
      <c r="N346" s="207">
        <f t="shared" si="62"/>
        <v>500</v>
      </c>
      <c r="O346" s="262">
        <f t="shared" si="60"/>
        <v>100</v>
      </c>
      <c r="P346" s="146"/>
    </row>
    <row r="347" spans="1:16" ht="15" customHeight="1">
      <c r="A347" s="6" t="s">
        <v>209</v>
      </c>
      <c r="B347" s="6"/>
      <c r="C347" s="12" t="s">
        <v>147</v>
      </c>
      <c r="D347" s="12" t="s">
        <v>268</v>
      </c>
      <c r="E347" s="39">
        <v>7950010</v>
      </c>
      <c r="F347" s="13" t="s">
        <v>323</v>
      </c>
      <c r="G347" s="157">
        <v>3</v>
      </c>
      <c r="H347" s="55"/>
      <c r="I347" s="55" t="e">
        <f>'проект бюджета 2013'!#REF!</f>
        <v>#REF!</v>
      </c>
      <c r="J347" s="56"/>
      <c r="K347" s="55" t="e">
        <f>'проект бюджета 2013'!#REF!</f>
        <v>#REF!</v>
      </c>
      <c r="L347" s="55">
        <f>'проект бюджета 2013'!M175</f>
        <v>50</v>
      </c>
      <c r="M347" s="207">
        <f>'проект бюджета 2013'!N175</f>
        <v>500</v>
      </c>
      <c r="N347" s="207">
        <f>'проект бюджета 2013'!O175</f>
        <v>500</v>
      </c>
      <c r="O347" s="262">
        <f t="shared" si="60"/>
        <v>100</v>
      </c>
      <c r="P347" s="146"/>
    </row>
    <row r="348" spans="1:16" ht="14.25">
      <c r="A348" s="3" t="s">
        <v>36</v>
      </c>
      <c r="B348" s="3"/>
      <c r="C348" s="10" t="s">
        <v>148</v>
      </c>
      <c r="D348" s="10">
        <v>0</v>
      </c>
      <c r="E348" s="10">
        <v>0</v>
      </c>
      <c r="F348" s="10">
        <v>0</v>
      </c>
      <c r="G348" s="10">
        <v>0</v>
      </c>
      <c r="H348" s="56" t="e">
        <f>H349+H354+H399+H439</f>
        <v>#REF!</v>
      </c>
      <c r="I348" s="56" t="e">
        <f>I349+I354+I399+I439</f>
        <v>#REF!</v>
      </c>
      <c r="J348" s="56" t="e">
        <f aca="true" t="shared" si="63" ref="J348:J400">I348-H348</f>
        <v>#REF!</v>
      </c>
      <c r="K348" s="56" t="e">
        <f>K349+K354+K399+K439</f>
        <v>#REF!</v>
      </c>
      <c r="L348" s="56" t="e">
        <f>L349+L354+L399+L439</f>
        <v>#REF!</v>
      </c>
      <c r="M348" s="208">
        <f>M349+M354+M399+M439</f>
        <v>22311.192049999998</v>
      </c>
      <c r="N348" s="208">
        <f>N349+N354+N399+N439</f>
        <v>24126.30077</v>
      </c>
      <c r="O348" s="262">
        <f t="shared" si="60"/>
        <v>108.13541793702592</v>
      </c>
      <c r="P348" s="146"/>
    </row>
    <row r="349" spans="1:16" ht="14.25">
      <c r="A349" s="4" t="s">
        <v>54</v>
      </c>
      <c r="B349" s="4"/>
      <c r="C349" s="11" t="s">
        <v>148</v>
      </c>
      <c r="D349" s="11" t="s">
        <v>186</v>
      </c>
      <c r="E349" s="11">
        <v>0</v>
      </c>
      <c r="F349" s="11"/>
      <c r="G349" s="11"/>
      <c r="H349" s="55">
        <f aca="true" t="shared" si="64" ref="H349:O351">H350</f>
        <v>565</v>
      </c>
      <c r="I349" s="55">
        <f t="shared" si="64"/>
        <v>800</v>
      </c>
      <c r="J349" s="56">
        <f t="shared" si="63"/>
        <v>235</v>
      </c>
      <c r="K349" s="55">
        <f t="shared" si="64"/>
        <v>800</v>
      </c>
      <c r="L349" s="55">
        <f t="shared" si="64"/>
        <v>1560</v>
      </c>
      <c r="M349" s="207">
        <f t="shared" si="64"/>
        <v>1849.526</v>
      </c>
      <c r="N349" s="207">
        <f t="shared" si="64"/>
        <v>1849.52548</v>
      </c>
      <c r="O349" s="262">
        <f t="shared" si="60"/>
        <v>99.99997188468829</v>
      </c>
      <c r="P349" s="146"/>
    </row>
    <row r="350" spans="1:16" ht="25.5">
      <c r="A350" s="5" t="s">
        <v>82</v>
      </c>
      <c r="B350" s="5"/>
      <c r="C350" s="11" t="s">
        <v>148</v>
      </c>
      <c r="D350" s="11" t="s">
        <v>186</v>
      </c>
      <c r="E350" s="12" t="s">
        <v>81</v>
      </c>
      <c r="F350" s="12"/>
      <c r="G350" s="12"/>
      <c r="H350" s="55">
        <f t="shared" si="64"/>
        <v>565</v>
      </c>
      <c r="I350" s="55">
        <f t="shared" si="64"/>
        <v>800</v>
      </c>
      <c r="J350" s="56">
        <f t="shared" si="63"/>
        <v>235</v>
      </c>
      <c r="K350" s="55">
        <f t="shared" si="64"/>
        <v>800</v>
      </c>
      <c r="L350" s="55">
        <f t="shared" si="64"/>
        <v>1560</v>
      </c>
      <c r="M350" s="207">
        <f t="shared" si="64"/>
        <v>1849.526</v>
      </c>
      <c r="N350" s="207">
        <f t="shared" si="64"/>
        <v>1849.52548</v>
      </c>
      <c r="O350" s="262">
        <f t="shared" si="60"/>
        <v>99.99997188468829</v>
      </c>
      <c r="P350" s="146"/>
    </row>
    <row r="351" spans="1:16" ht="25.5">
      <c r="A351" s="5" t="s">
        <v>55</v>
      </c>
      <c r="B351" s="5"/>
      <c r="C351" s="11" t="s">
        <v>148</v>
      </c>
      <c r="D351" s="11" t="s">
        <v>186</v>
      </c>
      <c r="E351" s="12" t="s">
        <v>83</v>
      </c>
      <c r="F351" s="12"/>
      <c r="G351" s="12"/>
      <c r="H351" s="55">
        <f t="shared" si="64"/>
        <v>565</v>
      </c>
      <c r="I351" s="55">
        <f t="shared" si="64"/>
        <v>800</v>
      </c>
      <c r="J351" s="56">
        <f t="shared" si="63"/>
        <v>235</v>
      </c>
      <c r="K351" s="55">
        <f t="shared" si="64"/>
        <v>800</v>
      </c>
      <c r="L351" s="55">
        <f t="shared" si="64"/>
        <v>1560</v>
      </c>
      <c r="M351" s="207">
        <f t="shared" si="64"/>
        <v>1849.526</v>
      </c>
      <c r="N351" s="207">
        <f t="shared" si="64"/>
        <v>1849.52548</v>
      </c>
      <c r="O351" s="262">
        <f t="shared" si="60"/>
        <v>99.99997188468829</v>
      </c>
      <c r="P351" s="146"/>
    </row>
    <row r="352" spans="1:16" ht="25.5">
      <c r="A352" s="6" t="s">
        <v>348</v>
      </c>
      <c r="B352" s="6"/>
      <c r="C352" s="11" t="s">
        <v>148</v>
      </c>
      <c r="D352" s="11" t="s">
        <v>186</v>
      </c>
      <c r="E352" s="12" t="s">
        <v>83</v>
      </c>
      <c r="F352" s="13" t="s">
        <v>347</v>
      </c>
      <c r="G352" s="13"/>
      <c r="H352" s="55">
        <f>'проект бюджета 2013'!H180</f>
        <v>565</v>
      </c>
      <c r="I352" s="55">
        <f>'проект бюджета 2013'!I180</f>
        <v>800</v>
      </c>
      <c r="J352" s="56">
        <f t="shared" si="63"/>
        <v>235</v>
      </c>
      <c r="K352" s="55">
        <f>'проект бюджета 2013'!K180</f>
        <v>800</v>
      </c>
      <c r="L352" s="55">
        <f>'проект бюджета 2013'!M180</f>
        <v>1560</v>
      </c>
      <c r="M352" s="207">
        <f>'проект бюджета 2013'!N180</f>
        <v>1849.526</v>
      </c>
      <c r="N352" s="207">
        <f>'проект бюджета 2013'!O180</f>
        <v>1849.52548</v>
      </c>
      <c r="O352" s="262">
        <f t="shared" si="60"/>
        <v>99.99997188468829</v>
      </c>
      <c r="P352" s="146"/>
    </row>
    <row r="353" spans="1:16" ht="14.25">
      <c r="A353" s="6" t="s">
        <v>209</v>
      </c>
      <c r="B353" s="3"/>
      <c r="C353" s="11" t="s">
        <v>148</v>
      </c>
      <c r="D353" s="11" t="s">
        <v>186</v>
      </c>
      <c r="E353" s="12" t="s">
        <v>83</v>
      </c>
      <c r="F353" s="13" t="s">
        <v>347</v>
      </c>
      <c r="G353" s="156" t="s">
        <v>212</v>
      </c>
      <c r="H353" s="72">
        <f>'проект бюджета 2013'!H181</f>
        <v>565</v>
      </c>
      <c r="I353" s="72">
        <f>'проект бюджета 2013'!I181</f>
        <v>800</v>
      </c>
      <c r="J353" s="56">
        <f t="shared" si="63"/>
        <v>235</v>
      </c>
      <c r="K353" s="72">
        <f>'проект бюджета 2013'!K181</f>
        <v>800</v>
      </c>
      <c r="L353" s="72">
        <f>'проект бюджета 2013'!M181</f>
        <v>1560</v>
      </c>
      <c r="M353" s="228">
        <f>'проект бюджета 2013'!N181</f>
        <v>1849.526</v>
      </c>
      <c r="N353" s="228">
        <f>'проект бюджета 2013'!O181</f>
        <v>1849.52548</v>
      </c>
      <c r="O353" s="262">
        <f t="shared" si="60"/>
        <v>99.99997188468829</v>
      </c>
      <c r="P353" s="146"/>
    </row>
    <row r="354" spans="1:16" ht="14.25">
      <c r="A354" s="4" t="s">
        <v>16</v>
      </c>
      <c r="B354" s="4"/>
      <c r="C354" s="11" t="s">
        <v>148</v>
      </c>
      <c r="D354" s="11" t="s">
        <v>174</v>
      </c>
      <c r="E354" s="11"/>
      <c r="F354" s="11"/>
      <c r="G354" s="11"/>
      <c r="H354" s="55" t="e">
        <f>H359+H375+#REF!+#REF!+H385+#REF!</f>
        <v>#REF!</v>
      </c>
      <c r="I354" s="55" t="e">
        <f>I359+I375+#REF!+#REF!+I385+#REF!+#REF!</f>
        <v>#REF!</v>
      </c>
      <c r="J354" s="56" t="e">
        <f t="shared" si="63"/>
        <v>#REF!</v>
      </c>
      <c r="K354" s="55" t="e">
        <f>K359+K375+#REF!+#REF!+K385+#REF!+#REF!</f>
        <v>#REF!</v>
      </c>
      <c r="L354" s="55" t="e">
        <f>L359+L375+#REF!+L385+#REF!+L382</f>
        <v>#REF!</v>
      </c>
      <c r="M354" s="207">
        <f>M358+M375+M385+M382+M395+M355</f>
        <v>9412.22461</v>
      </c>
      <c r="N354" s="207">
        <f>N358+N375+N385+N382+N395+N355</f>
        <v>11350.464609999999</v>
      </c>
      <c r="O354" s="262">
        <f t="shared" si="60"/>
        <v>120.59279373699519</v>
      </c>
      <c r="P354" s="146"/>
    </row>
    <row r="355" spans="1:16" ht="14.25">
      <c r="A355" s="5" t="s">
        <v>104</v>
      </c>
      <c r="B355" s="4"/>
      <c r="C355" s="12" t="s">
        <v>148</v>
      </c>
      <c r="D355" s="12" t="s">
        <v>174</v>
      </c>
      <c r="E355" s="12" t="s">
        <v>103</v>
      </c>
      <c r="F355" s="13"/>
      <c r="G355" s="34"/>
      <c r="H355" s="55"/>
      <c r="I355" s="55"/>
      <c r="J355" s="56"/>
      <c r="K355" s="55"/>
      <c r="L355" s="55"/>
      <c r="M355" s="207">
        <f aca="true" t="shared" si="65" ref="M355:O356">M356</f>
        <v>25</v>
      </c>
      <c r="N355" s="207">
        <f t="shared" si="65"/>
        <v>25</v>
      </c>
      <c r="O355" s="262">
        <f t="shared" si="60"/>
        <v>100</v>
      </c>
      <c r="P355" s="146"/>
    </row>
    <row r="356" spans="1:16" ht="25.5">
      <c r="A356" s="6" t="s">
        <v>348</v>
      </c>
      <c r="B356" s="4"/>
      <c r="C356" s="12" t="s">
        <v>148</v>
      </c>
      <c r="D356" s="12" t="s">
        <v>174</v>
      </c>
      <c r="E356" s="12" t="s">
        <v>103</v>
      </c>
      <c r="F356" s="13" t="s">
        <v>347</v>
      </c>
      <c r="G356" s="34"/>
      <c r="H356" s="55"/>
      <c r="I356" s="55"/>
      <c r="J356" s="56"/>
      <c r="K356" s="55"/>
      <c r="L356" s="55"/>
      <c r="M356" s="207">
        <f t="shared" si="65"/>
        <v>25</v>
      </c>
      <c r="N356" s="207">
        <f t="shared" si="65"/>
        <v>25</v>
      </c>
      <c r="O356" s="262">
        <f t="shared" si="60"/>
        <v>100</v>
      </c>
      <c r="P356" s="146"/>
    </row>
    <row r="357" spans="1:16" ht="14.25">
      <c r="A357" s="5" t="s">
        <v>209</v>
      </c>
      <c r="B357" s="4"/>
      <c r="C357" s="12" t="s">
        <v>148</v>
      </c>
      <c r="D357" s="12" t="s">
        <v>174</v>
      </c>
      <c r="E357" s="12" t="s">
        <v>103</v>
      </c>
      <c r="F357" s="13" t="s">
        <v>347</v>
      </c>
      <c r="G357" s="34">
        <v>3</v>
      </c>
      <c r="H357" s="55"/>
      <c r="I357" s="55"/>
      <c r="J357" s="56"/>
      <c r="K357" s="55"/>
      <c r="L357" s="55"/>
      <c r="M357" s="207">
        <f>'проект бюджета 2013'!N185</f>
        <v>25</v>
      </c>
      <c r="N357" s="207">
        <f>'проект бюджета 2013'!O185</f>
        <v>25</v>
      </c>
      <c r="O357" s="262">
        <f t="shared" si="60"/>
        <v>100</v>
      </c>
      <c r="P357" s="146"/>
    </row>
    <row r="358" spans="1:16" ht="14.25">
      <c r="A358" s="44" t="s">
        <v>198</v>
      </c>
      <c r="B358" s="44"/>
      <c r="C358" s="12" t="s">
        <v>148</v>
      </c>
      <c r="D358" s="12" t="s">
        <v>174</v>
      </c>
      <c r="E358" s="12" t="s">
        <v>199</v>
      </c>
      <c r="F358" s="13"/>
      <c r="G358" s="13"/>
      <c r="H358" s="55">
        <f aca="true" t="shared" si="66" ref="H358:I360">H359</f>
        <v>1224.292</v>
      </c>
      <c r="I358" s="55">
        <f t="shared" si="66"/>
        <v>848.7</v>
      </c>
      <c r="J358" s="56">
        <f>I358-H358</f>
        <v>-375.59199999999987</v>
      </c>
      <c r="K358" s="55">
        <f>K359</f>
        <v>848.8000000000001</v>
      </c>
      <c r="L358" s="55">
        <f>L359</f>
        <v>6086.8240000000005</v>
      </c>
      <c r="M358" s="207">
        <f>M359+M365+M370</f>
        <v>2441.858</v>
      </c>
      <c r="N358" s="207">
        <f>N359+N365+N370</f>
        <v>2441.858</v>
      </c>
      <c r="O358" s="262">
        <f t="shared" si="60"/>
        <v>100</v>
      </c>
      <c r="P358" s="146"/>
    </row>
    <row r="359" spans="1:16" ht="25.5">
      <c r="A359" s="6" t="s">
        <v>290</v>
      </c>
      <c r="B359" s="6"/>
      <c r="C359" s="11" t="s">
        <v>148</v>
      </c>
      <c r="D359" s="11" t="s">
        <v>174</v>
      </c>
      <c r="E359" s="37" t="s">
        <v>291</v>
      </c>
      <c r="F359" s="13"/>
      <c r="G359" s="13"/>
      <c r="H359" s="55">
        <f t="shared" si="66"/>
        <v>1224.292</v>
      </c>
      <c r="I359" s="55">
        <f t="shared" si="66"/>
        <v>848.7</v>
      </c>
      <c r="J359" s="56">
        <f t="shared" si="63"/>
        <v>-375.59199999999987</v>
      </c>
      <c r="K359" s="55">
        <f aca="true" t="shared" si="67" ref="K359:O360">K360</f>
        <v>848.8000000000001</v>
      </c>
      <c r="L359" s="55">
        <f t="shared" si="67"/>
        <v>6086.8240000000005</v>
      </c>
      <c r="M359" s="207">
        <f t="shared" si="67"/>
        <v>1326.15</v>
      </c>
      <c r="N359" s="207">
        <f t="shared" si="67"/>
        <v>1326.15</v>
      </c>
      <c r="O359" s="262">
        <f t="shared" si="60"/>
        <v>100</v>
      </c>
      <c r="P359" s="146"/>
    </row>
    <row r="360" spans="1:16" ht="14.25">
      <c r="A360" s="6" t="s">
        <v>69</v>
      </c>
      <c r="B360" s="6"/>
      <c r="C360" s="11" t="s">
        <v>148</v>
      </c>
      <c r="D360" s="11" t="s">
        <v>174</v>
      </c>
      <c r="E360" s="37" t="s">
        <v>292</v>
      </c>
      <c r="F360" s="13"/>
      <c r="G360" s="13"/>
      <c r="H360" s="55">
        <f t="shared" si="66"/>
        <v>1224.292</v>
      </c>
      <c r="I360" s="55">
        <f t="shared" si="66"/>
        <v>848.7</v>
      </c>
      <c r="J360" s="56">
        <f t="shared" si="63"/>
        <v>-375.59199999999987</v>
      </c>
      <c r="K360" s="55">
        <f t="shared" si="67"/>
        <v>848.8000000000001</v>
      </c>
      <c r="L360" s="55">
        <f t="shared" si="67"/>
        <v>6086.8240000000005</v>
      </c>
      <c r="M360" s="207">
        <f t="shared" si="67"/>
        <v>1326.15</v>
      </c>
      <c r="N360" s="207">
        <f t="shared" si="67"/>
        <v>1326.15</v>
      </c>
      <c r="O360" s="262">
        <f t="shared" si="60"/>
        <v>100</v>
      </c>
      <c r="P360" s="146"/>
    </row>
    <row r="361" spans="1:16" ht="14.25">
      <c r="A361" s="6" t="s">
        <v>332</v>
      </c>
      <c r="B361" s="6"/>
      <c r="C361" s="11" t="s">
        <v>148</v>
      </c>
      <c r="D361" s="11" t="s">
        <v>174</v>
      </c>
      <c r="E361" s="37" t="s">
        <v>292</v>
      </c>
      <c r="F361" s="13" t="s">
        <v>331</v>
      </c>
      <c r="G361" s="13"/>
      <c r="H361" s="55">
        <f>H364</f>
        <v>1224.292</v>
      </c>
      <c r="I361" s="55">
        <f>I364</f>
        <v>848.7</v>
      </c>
      <c r="J361" s="56">
        <f t="shared" si="63"/>
        <v>-375.59199999999987</v>
      </c>
      <c r="K361" s="55">
        <f>K364</f>
        <v>848.8000000000001</v>
      </c>
      <c r="L361" s="55">
        <f>L364+L362+L363</f>
        <v>6086.8240000000005</v>
      </c>
      <c r="M361" s="207">
        <f>M364+M362+M363</f>
        <v>1326.15</v>
      </c>
      <c r="N361" s="207">
        <f>N364+N362+N363</f>
        <v>1326.15</v>
      </c>
      <c r="O361" s="262">
        <f t="shared" si="60"/>
        <v>100</v>
      </c>
      <c r="P361" s="146"/>
    </row>
    <row r="362" spans="1:16" ht="15" customHeight="1">
      <c r="A362" s="169" t="s">
        <v>210</v>
      </c>
      <c r="B362" s="3"/>
      <c r="C362" s="11" t="s">
        <v>148</v>
      </c>
      <c r="D362" s="11" t="s">
        <v>174</v>
      </c>
      <c r="E362" s="37" t="s">
        <v>292</v>
      </c>
      <c r="F362" s="13" t="s">
        <v>331</v>
      </c>
      <c r="G362" s="158" t="s">
        <v>213</v>
      </c>
      <c r="H362" s="55"/>
      <c r="I362" s="55"/>
      <c r="J362" s="56"/>
      <c r="K362" s="55"/>
      <c r="L362" s="55">
        <f>'проект бюджета 2013'!M190</f>
        <v>1151.856</v>
      </c>
      <c r="M362" s="207">
        <f>'проект бюджета 2013'!N190</f>
        <v>464.153</v>
      </c>
      <c r="N362" s="207">
        <f>'проект бюджета 2013'!O190</f>
        <v>464.153</v>
      </c>
      <c r="O362" s="262">
        <f t="shared" si="60"/>
        <v>100</v>
      </c>
      <c r="P362" s="146"/>
    </row>
    <row r="363" spans="1:16" ht="15" customHeight="1">
      <c r="A363" s="169" t="s">
        <v>211</v>
      </c>
      <c r="B363" s="3"/>
      <c r="C363" s="11" t="s">
        <v>148</v>
      </c>
      <c r="D363" s="11" t="s">
        <v>174</v>
      </c>
      <c r="E363" s="37" t="s">
        <v>292</v>
      </c>
      <c r="F363" s="13" t="s">
        <v>331</v>
      </c>
      <c r="G363" s="162" t="s">
        <v>214</v>
      </c>
      <c r="H363" s="55"/>
      <c r="I363" s="55"/>
      <c r="J363" s="56"/>
      <c r="K363" s="55"/>
      <c r="L363" s="55">
        <f>'проект бюджета 2013'!M191</f>
        <v>4573.323</v>
      </c>
      <c r="M363" s="207">
        <f>'проект бюджета 2013'!N191</f>
        <v>583.506</v>
      </c>
      <c r="N363" s="207">
        <f>'проект бюджета 2013'!O191</f>
        <v>583.506</v>
      </c>
      <c r="O363" s="262">
        <f t="shared" si="60"/>
        <v>100</v>
      </c>
      <c r="P363" s="146"/>
    </row>
    <row r="364" spans="1:16" ht="15" customHeight="1">
      <c r="A364" s="6" t="s">
        <v>209</v>
      </c>
      <c r="B364" s="3"/>
      <c r="C364" s="11" t="s">
        <v>148</v>
      </c>
      <c r="D364" s="11" t="s">
        <v>174</v>
      </c>
      <c r="E364" s="37" t="s">
        <v>292</v>
      </c>
      <c r="F364" s="13" t="s">
        <v>331</v>
      </c>
      <c r="G364" s="162" t="s">
        <v>212</v>
      </c>
      <c r="H364" s="72">
        <f>'проект бюджета 2013'!H192</f>
        <v>1224.292</v>
      </c>
      <c r="I364" s="72">
        <f>'проект бюджета 2013'!I192</f>
        <v>848.7</v>
      </c>
      <c r="J364" s="56">
        <f t="shared" si="63"/>
        <v>-375.59199999999987</v>
      </c>
      <c r="K364" s="72">
        <f>'проект бюджета 2013'!K192</f>
        <v>848.8000000000001</v>
      </c>
      <c r="L364" s="72">
        <f>'проект бюджета 2013'!M192</f>
        <v>361.645</v>
      </c>
      <c r="M364" s="228">
        <f>'проект бюджета 2013'!N192</f>
        <v>278.491</v>
      </c>
      <c r="N364" s="228">
        <f>'проект бюджета 2013'!O192</f>
        <v>278.491</v>
      </c>
      <c r="O364" s="262">
        <f t="shared" si="60"/>
        <v>100</v>
      </c>
      <c r="P364" s="146"/>
    </row>
    <row r="365" spans="1:16" ht="25.5" customHeight="1">
      <c r="A365" s="44" t="s">
        <v>289</v>
      </c>
      <c r="B365" s="44"/>
      <c r="C365" s="11" t="s">
        <v>148</v>
      </c>
      <c r="D365" s="11" t="s">
        <v>174</v>
      </c>
      <c r="E365" s="12" t="s">
        <v>197</v>
      </c>
      <c r="F365" s="13"/>
      <c r="G365" s="13"/>
      <c r="H365" s="55">
        <f>H366+H369</f>
        <v>0</v>
      </c>
      <c r="I365" s="55">
        <f>I366+I369</f>
        <v>0</v>
      </c>
      <c r="J365" s="56">
        <f>I365-H365</f>
        <v>0</v>
      </c>
      <c r="K365" s="55">
        <f>K366+K369</f>
        <v>0</v>
      </c>
      <c r="L365" s="55">
        <f>L366+L369+L378</f>
        <v>300</v>
      </c>
      <c r="M365" s="207">
        <f>M367+M368+M369</f>
        <v>0</v>
      </c>
      <c r="N365" s="207">
        <f>N367+N368+N369</f>
        <v>0</v>
      </c>
      <c r="O365" s="262"/>
      <c r="P365" s="146"/>
    </row>
    <row r="366" spans="1:16" ht="15" customHeight="1">
      <c r="A366" s="6" t="s">
        <v>332</v>
      </c>
      <c r="B366" s="3"/>
      <c r="C366" s="11" t="s">
        <v>148</v>
      </c>
      <c r="D366" s="11" t="s">
        <v>174</v>
      </c>
      <c r="E366" s="12" t="s">
        <v>197</v>
      </c>
      <c r="F366" s="13" t="s">
        <v>331</v>
      </c>
      <c r="G366" s="13"/>
      <c r="H366" s="72"/>
      <c r="I366" s="72"/>
      <c r="J366" s="56"/>
      <c r="K366" s="72"/>
      <c r="L366" s="72">
        <f>L367+L368+L369</f>
        <v>0</v>
      </c>
      <c r="M366" s="228">
        <f>M367+M368+M369</f>
        <v>0</v>
      </c>
      <c r="N366" s="228">
        <f>N367+N368+N369</f>
        <v>0</v>
      </c>
      <c r="O366" s="262"/>
      <c r="P366" s="146"/>
    </row>
    <row r="367" spans="1:16" ht="15" customHeight="1">
      <c r="A367" s="6" t="s">
        <v>210</v>
      </c>
      <c r="B367" s="3"/>
      <c r="C367" s="11" t="s">
        <v>148</v>
      </c>
      <c r="D367" s="11" t="s">
        <v>174</v>
      </c>
      <c r="E367" s="12" t="s">
        <v>197</v>
      </c>
      <c r="F367" s="13" t="s">
        <v>331</v>
      </c>
      <c r="G367" s="157">
        <v>1</v>
      </c>
      <c r="H367" s="72"/>
      <c r="I367" s="72"/>
      <c r="J367" s="56"/>
      <c r="K367" s="72"/>
      <c r="L367" s="72">
        <f>'проект бюджета 2013'!M184</f>
        <v>0</v>
      </c>
      <c r="M367" s="228">
        <f>'проект бюджета 2013'!N195</f>
        <v>0</v>
      </c>
      <c r="N367" s="228">
        <f>'проект бюджета 2013'!O195</f>
        <v>0</v>
      </c>
      <c r="O367" s="262"/>
      <c r="P367" s="146"/>
    </row>
    <row r="368" spans="1:16" ht="15" customHeight="1">
      <c r="A368" s="6" t="s">
        <v>211</v>
      </c>
      <c r="B368" s="3"/>
      <c r="C368" s="11" t="s">
        <v>148</v>
      </c>
      <c r="D368" s="11" t="s">
        <v>174</v>
      </c>
      <c r="E368" s="12" t="s">
        <v>197</v>
      </c>
      <c r="F368" s="13" t="s">
        <v>331</v>
      </c>
      <c r="G368" s="167" t="s">
        <v>214</v>
      </c>
      <c r="H368" s="72"/>
      <c r="I368" s="72"/>
      <c r="J368" s="56"/>
      <c r="K368" s="72"/>
      <c r="L368" s="72">
        <f>'проект бюджета 2013'!M185</f>
        <v>0</v>
      </c>
      <c r="M368" s="228">
        <f>'проект бюджета 2013'!N196</f>
        <v>0</v>
      </c>
      <c r="N368" s="228">
        <f>'проект бюджета 2013'!O196</f>
        <v>0</v>
      </c>
      <c r="O368" s="262"/>
      <c r="P368" s="146"/>
    </row>
    <row r="369" spans="1:16" ht="15" customHeight="1">
      <c r="A369" s="6" t="s">
        <v>209</v>
      </c>
      <c r="B369" s="3"/>
      <c r="C369" s="11" t="s">
        <v>148</v>
      </c>
      <c r="D369" s="11" t="s">
        <v>174</v>
      </c>
      <c r="E369" s="12" t="s">
        <v>197</v>
      </c>
      <c r="F369" s="13" t="s">
        <v>331</v>
      </c>
      <c r="G369" s="156" t="s">
        <v>212</v>
      </c>
      <c r="H369" s="72"/>
      <c r="I369" s="72"/>
      <c r="J369" s="56"/>
      <c r="K369" s="72"/>
      <c r="L369" s="72">
        <f>'проект бюджета 2013'!M186</f>
        <v>0</v>
      </c>
      <c r="M369" s="228">
        <f>'проект бюджета 2013'!N197</f>
        <v>0</v>
      </c>
      <c r="N369" s="228">
        <f>'проект бюджета 2013'!O197</f>
        <v>0</v>
      </c>
      <c r="O369" s="262"/>
      <c r="P369" s="146"/>
    </row>
    <row r="370" spans="1:16" ht="39" customHeight="1">
      <c r="A370" s="44" t="s">
        <v>433</v>
      </c>
      <c r="B370" s="44"/>
      <c r="C370" s="11" t="s">
        <v>148</v>
      </c>
      <c r="D370" s="11" t="s">
        <v>174</v>
      </c>
      <c r="E370" s="37" t="s">
        <v>434</v>
      </c>
      <c r="F370" s="13"/>
      <c r="G370" s="13"/>
      <c r="H370" s="55">
        <f>H371+H374</f>
        <v>0</v>
      </c>
      <c r="I370" s="55">
        <f>I371+I374</f>
        <v>0</v>
      </c>
      <c r="J370" s="56">
        <f>I370-H370</f>
        <v>0</v>
      </c>
      <c r="K370" s="55">
        <f>K371+K374</f>
        <v>0</v>
      </c>
      <c r="L370" s="55">
        <f>L371+L374+L383</f>
        <v>19362.326</v>
      </c>
      <c r="M370" s="207">
        <f>M372+M373+M374</f>
        <v>1115.708</v>
      </c>
      <c r="N370" s="207">
        <f>N372+N373+N374</f>
        <v>1115.708</v>
      </c>
      <c r="O370" s="262">
        <f t="shared" si="60"/>
        <v>100</v>
      </c>
      <c r="P370" s="146"/>
    </row>
    <row r="371" spans="1:16" ht="15" customHeight="1">
      <c r="A371" s="6" t="s">
        <v>332</v>
      </c>
      <c r="B371" s="3"/>
      <c r="C371" s="11" t="s">
        <v>148</v>
      </c>
      <c r="D371" s="11" t="s">
        <v>174</v>
      </c>
      <c r="E371" s="37" t="s">
        <v>434</v>
      </c>
      <c r="F371" s="13" t="s">
        <v>331</v>
      </c>
      <c r="G371" s="13"/>
      <c r="H371" s="72"/>
      <c r="I371" s="72"/>
      <c r="J371" s="56"/>
      <c r="K371" s="72"/>
      <c r="L371" s="72">
        <f>L372+L373+L374</f>
        <v>11812.003</v>
      </c>
      <c r="M371" s="228">
        <f>M372+M373+M374</f>
        <v>1115.708</v>
      </c>
      <c r="N371" s="207">
        <f>N372+N373+N374</f>
        <v>1115.708</v>
      </c>
      <c r="O371" s="262">
        <f t="shared" si="60"/>
        <v>100</v>
      </c>
      <c r="P371" s="146"/>
    </row>
    <row r="372" spans="1:16" ht="15" customHeight="1">
      <c r="A372" s="6" t="s">
        <v>210</v>
      </c>
      <c r="B372" s="3"/>
      <c r="C372" s="11" t="s">
        <v>148</v>
      </c>
      <c r="D372" s="11" t="s">
        <v>174</v>
      </c>
      <c r="E372" s="37" t="s">
        <v>434</v>
      </c>
      <c r="F372" s="13" t="s">
        <v>331</v>
      </c>
      <c r="G372" s="157">
        <v>1</v>
      </c>
      <c r="H372" s="72"/>
      <c r="I372" s="72"/>
      <c r="J372" s="56"/>
      <c r="K372" s="72"/>
      <c r="L372" s="72">
        <f>'проект бюджета 2013'!M189</f>
        <v>6086.8240000000005</v>
      </c>
      <c r="M372" s="228">
        <f>'проект бюджета 2013'!N200</f>
        <v>578.99</v>
      </c>
      <c r="N372" s="207">
        <f>'проект бюджета 2013'!O200</f>
        <v>578.99</v>
      </c>
      <c r="O372" s="262">
        <f t="shared" si="60"/>
        <v>100</v>
      </c>
      <c r="P372" s="146"/>
    </row>
    <row r="373" spans="1:16" ht="15" customHeight="1">
      <c r="A373" s="6" t="s">
        <v>211</v>
      </c>
      <c r="B373" s="3"/>
      <c r="C373" s="11" t="s">
        <v>148</v>
      </c>
      <c r="D373" s="11" t="s">
        <v>174</v>
      </c>
      <c r="E373" s="37" t="s">
        <v>434</v>
      </c>
      <c r="F373" s="13" t="s">
        <v>331</v>
      </c>
      <c r="G373" s="167" t="s">
        <v>214</v>
      </c>
      <c r="H373" s="72"/>
      <c r="I373" s="72"/>
      <c r="J373" s="56"/>
      <c r="K373" s="72"/>
      <c r="L373" s="72">
        <f>'проект бюджета 2013'!M190</f>
        <v>1151.856</v>
      </c>
      <c r="M373" s="228">
        <f>'проект бюджета 2013'!N201</f>
        <v>323.38</v>
      </c>
      <c r="N373" s="207">
        <f>'проект бюджета 2013'!O201</f>
        <v>323.38</v>
      </c>
      <c r="O373" s="262">
        <f t="shared" si="60"/>
        <v>100</v>
      </c>
      <c r="P373" s="146"/>
    </row>
    <row r="374" spans="1:16" ht="15" customHeight="1">
      <c r="A374" s="6" t="s">
        <v>209</v>
      </c>
      <c r="B374" s="3"/>
      <c r="C374" s="11" t="s">
        <v>148</v>
      </c>
      <c r="D374" s="11" t="s">
        <v>174</v>
      </c>
      <c r="E374" s="37" t="s">
        <v>434</v>
      </c>
      <c r="F374" s="13" t="s">
        <v>331</v>
      </c>
      <c r="G374" s="156" t="s">
        <v>212</v>
      </c>
      <c r="H374" s="72"/>
      <c r="I374" s="72"/>
      <c r="J374" s="56"/>
      <c r="K374" s="72"/>
      <c r="L374" s="72">
        <f>'проект бюджета 2013'!M191</f>
        <v>4573.323</v>
      </c>
      <c r="M374" s="228">
        <f>'проект бюджета 2013'!N202</f>
        <v>213.338</v>
      </c>
      <c r="N374" s="228">
        <f>'проект бюджета 2013'!O202</f>
        <v>213.338</v>
      </c>
      <c r="O374" s="262">
        <f t="shared" si="60"/>
        <v>100</v>
      </c>
      <c r="P374" s="146"/>
    </row>
    <row r="375" spans="1:16" ht="28.5">
      <c r="A375" s="48" t="s">
        <v>157</v>
      </c>
      <c r="B375" s="48"/>
      <c r="C375" s="11" t="s">
        <v>148</v>
      </c>
      <c r="D375" s="11" t="s">
        <v>174</v>
      </c>
      <c r="E375" s="49" t="s">
        <v>158</v>
      </c>
      <c r="F375" s="49"/>
      <c r="G375" s="49"/>
      <c r="H375" s="55" t="e">
        <f>H376</f>
        <v>#REF!</v>
      </c>
      <c r="I375" s="55" t="e">
        <f>I376</f>
        <v>#REF!</v>
      </c>
      <c r="J375" s="56" t="e">
        <f t="shared" si="63"/>
        <v>#REF!</v>
      </c>
      <c r="K375" s="55" t="e">
        <f>K376</f>
        <v>#REF!</v>
      </c>
      <c r="L375" s="55">
        <f>L376</f>
        <v>550</v>
      </c>
      <c r="M375" s="207">
        <f>M376</f>
        <v>233.69400000000002</v>
      </c>
      <c r="N375" s="207">
        <f>N376</f>
        <v>233.69400000000002</v>
      </c>
      <c r="O375" s="262">
        <f t="shared" si="60"/>
        <v>100</v>
      </c>
      <c r="P375" s="146"/>
    </row>
    <row r="376" spans="1:16" ht="14.25">
      <c r="A376" s="48" t="s">
        <v>159</v>
      </c>
      <c r="B376" s="48"/>
      <c r="C376" s="11" t="s">
        <v>148</v>
      </c>
      <c r="D376" s="11" t="s">
        <v>174</v>
      </c>
      <c r="E376" s="49" t="s">
        <v>160</v>
      </c>
      <c r="F376" s="49"/>
      <c r="G376" s="49"/>
      <c r="H376" s="55" t="e">
        <f>H377</f>
        <v>#REF!</v>
      </c>
      <c r="I376" s="55" t="e">
        <f>I377</f>
        <v>#REF!</v>
      </c>
      <c r="J376" s="56" t="e">
        <f t="shared" si="63"/>
        <v>#REF!</v>
      </c>
      <c r="K376" s="55" t="e">
        <f>K377</f>
        <v>#REF!</v>
      </c>
      <c r="L376" s="55">
        <f>L377+L379</f>
        <v>550</v>
      </c>
      <c r="M376" s="207">
        <f>M377+M379</f>
        <v>233.69400000000002</v>
      </c>
      <c r="N376" s="207">
        <f>N377+N379</f>
        <v>233.69400000000002</v>
      </c>
      <c r="O376" s="262">
        <f t="shared" si="60"/>
        <v>100</v>
      </c>
      <c r="P376" s="146"/>
    </row>
    <row r="377" spans="1:16" ht="14.25">
      <c r="A377" s="105" t="s">
        <v>330</v>
      </c>
      <c r="B377" s="6"/>
      <c r="C377" s="11" t="s">
        <v>148</v>
      </c>
      <c r="D377" s="11" t="s">
        <v>174</v>
      </c>
      <c r="E377" s="49" t="s">
        <v>160</v>
      </c>
      <c r="F377" s="49" t="s">
        <v>280</v>
      </c>
      <c r="G377" s="49"/>
      <c r="H377" s="55" t="e">
        <f>H378+H380</f>
        <v>#REF!</v>
      </c>
      <c r="I377" s="55" t="e">
        <f>I378+I380</f>
        <v>#REF!</v>
      </c>
      <c r="J377" s="56" t="e">
        <f t="shared" si="63"/>
        <v>#REF!</v>
      </c>
      <c r="K377" s="55" t="e">
        <f>K378+K380</f>
        <v>#REF!</v>
      </c>
      <c r="L377" s="55">
        <f>L378</f>
        <v>300</v>
      </c>
      <c r="M377" s="207">
        <f>M378</f>
        <v>20</v>
      </c>
      <c r="N377" s="207">
        <f>N378</f>
        <v>20</v>
      </c>
      <c r="O377" s="262">
        <f t="shared" si="60"/>
        <v>100</v>
      </c>
      <c r="P377" s="146"/>
    </row>
    <row r="378" spans="1:16" ht="14.25">
      <c r="A378" s="6" t="s">
        <v>209</v>
      </c>
      <c r="B378" s="6"/>
      <c r="C378" s="11" t="s">
        <v>148</v>
      </c>
      <c r="D378" s="11" t="s">
        <v>174</v>
      </c>
      <c r="E378" s="49" t="s">
        <v>160</v>
      </c>
      <c r="F378" s="49" t="s">
        <v>280</v>
      </c>
      <c r="G378" s="163" t="s">
        <v>212</v>
      </c>
      <c r="H378" s="55" t="e">
        <f>'проект бюджета 2013'!#REF!</f>
        <v>#REF!</v>
      </c>
      <c r="I378" s="55" t="e">
        <f>'проект бюджета 2013'!#REF!</f>
        <v>#REF!</v>
      </c>
      <c r="J378" s="56" t="e">
        <f t="shared" si="63"/>
        <v>#REF!</v>
      </c>
      <c r="K378" s="55" t="e">
        <f>'проект бюджета 2013'!#REF!</f>
        <v>#REF!</v>
      </c>
      <c r="L378" s="55">
        <f>'проект бюджета 2013'!M216</f>
        <v>300</v>
      </c>
      <c r="M378" s="207">
        <f>'проект бюджета 2013'!N216</f>
        <v>20</v>
      </c>
      <c r="N378" s="207">
        <f>'проект бюджета 2013'!O216</f>
        <v>20</v>
      </c>
      <c r="O378" s="262">
        <f t="shared" si="60"/>
        <v>100</v>
      </c>
      <c r="P378" s="146"/>
    </row>
    <row r="379" spans="1:16" ht="25.5">
      <c r="A379" s="6" t="s">
        <v>348</v>
      </c>
      <c r="B379" s="6"/>
      <c r="C379" s="11" t="s">
        <v>148</v>
      </c>
      <c r="D379" s="11" t="s">
        <v>174</v>
      </c>
      <c r="E379" s="49" t="s">
        <v>160</v>
      </c>
      <c r="F379" s="49" t="s">
        <v>347</v>
      </c>
      <c r="G379" s="49"/>
      <c r="H379" s="55"/>
      <c r="I379" s="55"/>
      <c r="J379" s="56"/>
      <c r="K379" s="55"/>
      <c r="L379" s="55">
        <f>L380+L381</f>
        <v>250</v>
      </c>
      <c r="M379" s="207">
        <f>M380+M381</f>
        <v>213.69400000000002</v>
      </c>
      <c r="N379" s="207">
        <f>N380+N381</f>
        <v>213.69400000000002</v>
      </c>
      <c r="O379" s="262">
        <f t="shared" si="60"/>
        <v>100</v>
      </c>
      <c r="P379" s="146"/>
    </row>
    <row r="380" spans="1:16" s="23" customFormat="1" ht="14.25">
      <c r="A380" s="6" t="s">
        <v>209</v>
      </c>
      <c r="B380" s="12" t="s">
        <v>164</v>
      </c>
      <c r="C380" s="11" t="s">
        <v>148</v>
      </c>
      <c r="D380" s="10" t="s">
        <v>174</v>
      </c>
      <c r="E380" s="49" t="s">
        <v>160</v>
      </c>
      <c r="F380" s="49" t="s">
        <v>347</v>
      </c>
      <c r="G380" s="157">
        <v>3</v>
      </c>
      <c r="H380" s="55">
        <f>'проект бюджета 2013'!H216</f>
        <v>1000</v>
      </c>
      <c r="I380" s="55">
        <f>'проект бюджета 2013'!I216</f>
        <v>600</v>
      </c>
      <c r="J380" s="56">
        <f t="shared" si="63"/>
        <v>-400</v>
      </c>
      <c r="K380" s="55" t="e">
        <f>'проект бюджета 2013'!K216+'проект бюджета 2013'!K529+'проект бюджета 2013'!#REF!</f>
        <v>#REF!</v>
      </c>
      <c r="L380" s="55">
        <f>'проект бюджета 2013'!M529</f>
        <v>100</v>
      </c>
      <c r="M380" s="207">
        <f>'проект бюджета 2013'!N529</f>
        <v>110</v>
      </c>
      <c r="N380" s="207">
        <f>'проект бюджета 2013'!O529</f>
        <v>110</v>
      </c>
      <c r="O380" s="262">
        <f t="shared" si="60"/>
        <v>100</v>
      </c>
      <c r="P380" s="146"/>
    </row>
    <row r="381" spans="1:16" s="23" customFormat="1" ht="14.25">
      <c r="A381" s="51" t="s">
        <v>361</v>
      </c>
      <c r="B381" s="12"/>
      <c r="C381" s="11" t="s">
        <v>148</v>
      </c>
      <c r="D381" s="10" t="s">
        <v>174</v>
      </c>
      <c r="E381" s="49" t="s">
        <v>160</v>
      </c>
      <c r="F381" s="49" t="s">
        <v>347</v>
      </c>
      <c r="G381" s="34">
        <v>4</v>
      </c>
      <c r="H381" s="55"/>
      <c r="I381" s="55"/>
      <c r="J381" s="56"/>
      <c r="K381" s="55"/>
      <c r="L381" s="55">
        <f>'проект бюджета 2013'!M530</f>
        <v>150</v>
      </c>
      <c r="M381" s="207">
        <f>'проект бюджета 2013'!N530</f>
        <v>103.694</v>
      </c>
      <c r="N381" s="207">
        <f>'проект бюджета 2013'!O530</f>
        <v>103.694</v>
      </c>
      <c r="O381" s="262">
        <f t="shared" si="60"/>
        <v>100</v>
      </c>
      <c r="P381" s="146"/>
    </row>
    <row r="382" spans="1:16" ht="114">
      <c r="A382" s="48" t="s">
        <v>355</v>
      </c>
      <c r="B382" s="12"/>
      <c r="C382" s="11" t="s">
        <v>148</v>
      </c>
      <c r="D382" s="10" t="s">
        <v>174</v>
      </c>
      <c r="E382" s="49" t="s">
        <v>356</v>
      </c>
      <c r="F382" s="49"/>
      <c r="G382" s="34"/>
      <c r="H382" s="55"/>
      <c r="I382" s="55"/>
      <c r="J382" s="56"/>
      <c r="K382" s="55"/>
      <c r="L382" s="55">
        <f aca="true" t="shared" si="68" ref="L382:O383">L383</f>
        <v>2977</v>
      </c>
      <c r="M382" s="207">
        <f t="shared" si="68"/>
        <v>1494.1862099999998</v>
      </c>
      <c r="N382" s="207">
        <f t="shared" si="68"/>
        <v>1494.1862099999998</v>
      </c>
      <c r="O382" s="262">
        <f t="shared" si="60"/>
        <v>100</v>
      </c>
      <c r="P382" s="146"/>
    </row>
    <row r="383" spans="1:16" ht="25.5">
      <c r="A383" s="6" t="s">
        <v>348</v>
      </c>
      <c r="B383" s="12"/>
      <c r="C383" s="11" t="s">
        <v>148</v>
      </c>
      <c r="D383" s="10" t="s">
        <v>174</v>
      </c>
      <c r="E383" s="49" t="s">
        <v>356</v>
      </c>
      <c r="F383" s="49" t="s">
        <v>347</v>
      </c>
      <c r="G383" s="34"/>
      <c r="H383" s="55"/>
      <c r="I383" s="55"/>
      <c r="J383" s="56"/>
      <c r="K383" s="55"/>
      <c r="L383" s="55">
        <f t="shared" si="68"/>
        <v>2977</v>
      </c>
      <c r="M383" s="207">
        <f t="shared" si="68"/>
        <v>1494.1862099999998</v>
      </c>
      <c r="N383" s="207">
        <f t="shared" si="68"/>
        <v>1494.1862099999998</v>
      </c>
      <c r="O383" s="262">
        <f t="shared" si="60"/>
        <v>100</v>
      </c>
      <c r="P383" s="146"/>
    </row>
    <row r="384" spans="1:16" ht="14.25">
      <c r="A384" s="6" t="s">
        <v>211</v>
      </c>
      <c r="B384" s="12"/>
      <c r="C384" s="11" t="s">
        <v>148</v>
      </c>
      <c r="D384" s="10" t="s">
        <v>174</v>
      </c>
      <c r="E384" s="49" t="s">
        <v>356</v>
      </c>
      <c r="F384" s="49" t="s">
        <v>347</v>
      </c>
      <c r="G384" s="157">
        <v>2</v>
      </c>
      <c r="H384" s="55"/>
      <c r="I384" s="55"/>
      <c r="J384" s="56"/>
      <c r="K384" s="55"/>
      <c r="L384" s="55">
        <f>'проект бюджета 2013'!M439</f>
        <v>2977</v>
      </c>
      <c r="M384" s="207">
        <f>'проект бюджета 2013'!N439</f>
        <v>1494.1862099999998</v>
      </c>
      <c r="N384" s="207">
        <f>'проект бюджета 2013'!O439</f>
        <v>1494.1862099999998</v>
      </c>
      <c r="O384" s="262">
        <f t="shared" si="60"/>
        <v>100</v>
      </c>
      <c r="P384" s="146"/>
    </row>
    <row r="385" spans="1:16" ht="14.25">
      <c r="A385" s="5" t="s">
        <v>84</v>
      </c>
      <c r="B385" s="5"/>
      <c r="C385" s="11" t="s">
        <v>148</v>
      </c>
      <c r="D385" s="11" t="s">
        <v>174</v>
      </c>
      <c r="E385" s="12" t="s">
        <v>73</v>
      </c>
      <c r="F385" s="12"/>
      <c r="G385" s="12"/>
      <c r="H385" s="55">
        <f>H386+H392+H389</f>
        <v>971.4</v>
      </c>
      <c r="I385" s="55" t="e">
        <f>I386+I392+I389+#REF!</f>
        <v>#REF!</v>
      </c>
      <c r="J385" s="56" t="e">
        <f t="shared" si="63"/>
        <v>#REF!</v>
      </c>
      <c r="K385" s="55" t="e">
        <f>K386+K392+K389+#REF!</f>
        <v>#REF!</v>
      </c>
      <c r="L385" s="55">
        <f>L386+L392+L389</f>
        <v>4712</v>
      </c>
      <c r="M385" s="207">
        <f>M386+M392+M389</f>
        <v>4867.4864</v>
      </c>
      <c r="N385" s="207">
        <f>N386+N392+N389</f>
        <v>6805.7264</v>
      </c>
      <c r="O385" s="262">
        <f t="shared" si="60"/>
        <v>139.82014207579502</v>
      </c>
      <c r="P385" s="146"/>
    </row>
    <row r="386" spans="1:16" ht="14.25">
      <c r="A386" s="5" t="s">
        <v>159</v>
      </c>
      <c r="B386" s="5"/>
      <c r="C386" s="11" t="s">
        <v>148</v>
      </c>
      <c r="D386" s="11" t="s">
        <v>174</v>
      </c>
      <c r="E386" s="12" t="s">
        <v>200</v>
      </c>
      <c r="F386" s="12"/>
      <c r="G386" s="12"/>
      <c r="H386" s="55">
        <f>H387</f>
        <v>42</v>
      </c>
      <c r="I386" s="55">
        <f>I387</f>
        <v>54</v>
      </c>
      <c r="J386" s="56">
        <f t="shared" si="63"/>
        <v>12</v>
      </c>
      <c r="K386" s="55">
        <f>K387</f>
        <v>54</v>
      </c>
      <c r="L386" s="55">
        <f>L387</f>
        <v>200</v>
      </c>
      <c r="M386" s="207">
        <f>M387</f>
        <v>248</v>
      </c>
      <c r="N386" s="207">
        <f>N387</f>
        <v>248</v>
      </c>
      <c r="O386" s="262">
        <f t="shared" si="60"/>
        <v>100</v>
      </c>
      <c r="P386" s="146"/>
    </row>
    <row r="387" spans="1:16" ht="25.5">
      <c r="A387" s="6" t="s">
        <v>348</v>
      </c>
      <c r="B387" s="6"/>
      <c r="C387" s="11" t="s">
        <v>148</v>
      </c>
      <c r="D387" s="11" t="s">
        <v>174</v>
      </c>
      <c r="E387" s="12" t="s">
        <v>200</v>
      </c>
      <c r="F387" s="13" t="s">
        <v>347</v>
      </c>
      <c r="G387" s="13"/>
      <c r="H387" s="72">
        <f>'проект бюджета 2013'!H209</f>
        <v>42</v>
      </c>
      <c r="I387" s="72">
        <f>'проект бюджета 2013'!I209</f>
        <v>54</v>
      </c>
      <c r="J387" s="56">
        <f t="shared" si="63"/>
        <v>12</v>
      </c>
      <c r="K387" s="72">
        <f>'проект бюджета 2013'!K209</f>
        <v>54</v>
      </c>
      <c r="L387" s="72">
        <f>L388</f>
        <v>200</v>
      </c>
      <c r="M387" s="228">
        <f>M388</f>
        <v>248</v>
      </c>
      <c r="N387" s="228">
        <f>N388</f>
        <v>248</v>
      </c>
      <c r="O387" s="262">
        <f t="shared" si="60"/>
        <v>100</v>
      </c>
      <c r="P387" s="146"/>
    </row>
    <row r="388" spans="1:16" ht="14.25">
      <c r="A388" s="6" t="s">
        <v>209</v>
      </c>
      <c r="B388" s="6"/>
      <c r="C388" s="11" t="s">
        <v>148</v>
      </c>
      <c r="D388" s="11" t="s">
        <v>174</v>
      </c>
      <c r="E388" s="12" t="s">
        <v>200</v>
      </c>
      <c r="F388" s="13" t="s">
        <v>347</v>
      </c>
      <c r="G388" s="156" t="s">
        <v>212</v>
      </c>
      <c r="H388" s="72"/>
      <c r="I388" s="72"/>
      <c r="J388" s="56"/>
      <c r="K388" s="72"/>
      <c r="L388" s="72">
        <f>'проект бюджета 2013'!M209</f>
        <v>200</v>
      </c>
      <c r="M388" s="228">
        <f>'проект бюджета 2013'!N209</f>
        <v>248</v>
      </c>
      <c r="N388" s="228">
        <f>'проект бюджета 2013'!O209</f>
        <v>248</v>
      </c>
      <c r="O388" s="262">
        <f t="shared" si="60"/>
        <v>100</v>
      </c>
      <c r="P388" s="146"/>
    </row>
    <row r="389" spans="1:16" ht="63.75">
      <c r="A389" s="6" t="s">
        <v>364</v>
      </c>
      <c r="B389" s="12" t="s">
        <v>164</v>
      </c>
      <c r="C389" s="11" t="s">
        <v>148</v>
      </c>
      <c r="D389" s="11" t="s">
        <v>174</v>
      </c>
      <c r="E389" s="12" t="s">
        <v>237</v>
      </c>
      <c r="F389" s="13"/>
      <c r="G389" s="34"/>
      <c r="H389" s="56">
        <f>H390</f>
        <v>869.4</v>
      </c>
      <c r="I389" s="56">
        <f>I390</f>
        <v>0</v>
      </c>
      <c r="J389" s="56">
        <f t="shared" si="63"/>
        <v>-869.4</v>
      </c>
      <c r="K389" s="56">
        <f aca="true" t="shared" si="69" ref="K389:O390">K390</f>
        <v>4347</v>
      </c>
      <c r="L389" s="56">
        <f t="shared" si="69"/>
        <v>4446</v>
      </c>
      <c r="M389" s="208">
        <f t="shared" si="69"/>
        <v>4577.4864</v>
      </c>
      <c r="N389" s="208">
        <f t="shared" si="69"/>
        <v>6515.7264</v>
      </c>
      <c r="O389" s="262">
        <f t="shared" si="60"/>
        <v>142.3428893202173</v>
      </c>
      <c r="P389" s="146"/>
    </row>
    <row r="390" spans="1:16" ht="14.25">
      <c r="A390" s="6" t="s">
        <v>25</v>
      </c>
      <c r="B390" s="12" t="s">
        <v>164</v>
      </c>
      <c r="C390" s="11" t="s">
        <v>148</v>
      </c>
      <c r="D390" s="11" t="s">
        <v>174</v>
      </c>
      <c r="E390" s="12" t="s">
        <v>237</v>
      </c>
      <c r="F390" s="115" t="s">
        <v>331</v>
      </c>
      <c r="G390" s="34"/>
      <c r="H390" s="56">
        <f>H391</f>
        <v>869.4</v>
      </c>
      <c r="I390" s="56">
        <f>I391</f>
        <v>0</v>
      </c>
      <c r="J390" s="56">
        <f t="shared" si="63"/>
        <v>-869.4</v>
      </c>
      <c r="K390" s="56">
        <f t="shared" si="69"/>
        <v>4347</v>
      </c>
      <c r="L390" s="56">
        <f t="shared" si="69"/>
        <v>4446</v>
      </c>
      <c r="M390" s="208">
        <f t="shared" si="69"/>
        <v>4577.4864</v>
      </c>
      <c r="N390" s="208">
        <f t="shared" si="69"/>
        <v>6515.7264</v>
      </c>
      <c r="O390" s="262">
        <f t="shared" si="60"/>
        <v>142.3428893202173</v>
      </c>
      <c r="P390" s="146"/>
    </row>
    <row r="391" spans="1:16" ht="14.25">
      <c r="A391" s="6" t="s">
        <v>210</v>
      </c>
      <c r="B391" s="12" t="s">
        <v>164</v>
      </c>
      <c r="C391" s="11" t="s">
        <v>148</v>
      </c>
      <c r="D391" s="11" t="s">
        <v>174</v>
      </c>
      <c r="E391" s="12" t="s">
        <v>237</v>
      </c>
      <c r="F391" s="115" t="s">
        <v>331</v>
      </c>
      <c r="G391" s="157">
        <v>1</v>
      </c>
      <c r="H391" s="56">
        <f>'проект бюджета 2013'!H205</f>
        <v>869.4</v>
      </c>
      <c r="I391" s="56">
        <f>'проект бюджета 2013'!I205</f>
        <v>0</v>
      </c>
      <c r="J391" s="56">
        <f t="shared" si="63"/>
        <v>-869.4</v>
      </c>
      <c r="K391" s="56">
        <f>'проект бюджета 2013'!K205</f>
        <v>4347</v>
      </c>
      <c r="L391" s="56">
        <f>'проект бюджета 2013'!M205</f>
        <v>4446</v>
      </c>
      <c r="M391" s="208">
        <f>'проект бюджета 2013'!N205</f>
        <v>4577.4864</v>
      </c>
      <c r="N391" s="208">
        <f>'проект бюджета 2013'!O205</f>
        <v>6515.7264</v>
      </c>
      <c r="O391" s="262">
        <f t="shared" si="60"/>
        <v>142.3428893202173</v>
      </c>
      <c r="P391" s="146"/>
    </row>
    <row r="392" spans="1:16" ht="14.25">
      <c r="A392" s="6" t="s">
        <v>202</v>
      </c>
      <c r="B392" s="6"/>
      <c r="C392" s="11" t="s">
        <v>148</v>
      </c>
      <c r="D392" s="11" t="s">
        <v>174</v>
      </c>
      <c r="E392" s="12" t="s">
        <v>201</v>
      </c>
      <c r="F392" s="13"/>
      <c r="G392" s="13"/>
      <c r="H392" s="55">
        <f>H393</f>
        <v>60</v>
      </c>
      <c r="I392" s="55">
        <f>I393</f>
        <v>60</v>
      </c>
      <c r="J392" s="56">
        <f t="shared" si="63"/>
        <v>0</v>
      </c>
      <c r="K392" s="55">
        <f aca="true" t="shared" si="70" ref="K392:O393">K393</f>
        <v>60</v>
      </c>
      <c r="L392" s="55">
        <f t="shared" si="70"/>
        <v>66</v>
      </c>
      <c r="M392" s="207">
        <f t="shared" si="70"/>
        <v>42</v>
      </c>
      <c r="N392" s="207">
        <f t="shared" si="70"/>
        <v>42</v>
      </c>
      <c r="O392" s="262">
        <f t="shared" si="60"/>
        <v>100</v>
      </c>
      <c r="P392" s="146"/>
    </row>
    <row r="393" spans="1:16" ht="14.25">
      <c r="A393" s="105" t="s">
        <v>330</v>
      </c>
      <c r="B393" s="6"/>
      <c r="C393" s="11" t="s">
        <v>148</v>
      </c>
      <c r="D393" s="11" t="s">
        <v>174</v>
      </c>
      <c r="E393" s="12" t="s">
        <v>201</v>
      </c>
      <c r="F393" s="13" t="s">
        <v>280</v>
      </c>
      <c r="G393" s="13"/>
      <c r="H393" s="55">
        <f>H394</f>
        <v>60</v>
      </c>
      <c r="I393" s="55">
        <f>I394</f>
        <v>60</v>
      </c>
      <c r="J393" s="56">
        <f t="shared" si="63"/>
        <v>0</v>
      </c>
      <c r="K393" s="55">
        <f t="shared" si="70"/>
        <v>60</v>
      </c>
      <c r="L393" s="55">
        <f t="shared" si="70"/>
        <v>66</v>
      </c>
      <c r="M393" s="207">
        <f t="shared" si="70"/>
        <v>42</v>
      </c>
      <c r="N393" s="207">
        <f t="shared" si="70"/>
        <v>42</v>
      </c>
      <c r="O393" s="262">
        <f t="shared" si="60"/>
        <v>100</v>
      </c>
      <c r="P393" s="146"/>
    </row>
    <row r="394" spans="1:16" ht="14.25">
      <c r="A394" s="6" t="s">
        <v>209</v>
      </c>
      <c r="B394" s="3"/>
      <c r="C394" s="11" t="s">
        <v>148</v>
      </c>
      <c r="D394" s="11" t="s">
        <v>174</v>
      </c>
      <c r="E394" s="12" t="s">
        <v>201</v>
      </c>
      <c r="F394" s="13" t="s">
        <v>280</v>
      </c>
      <c r="G394" s="156" t="s">
        <v>212</v>
      </c>
      <c r="H394" s="72">
        <f>'проект бюджета 2013'!H212</f>
        <v>60</v>
      </c>
      <c r="I394" s="72">
        <f>'проект бюджета 2013'!I212</f>
        <v>60</v>
      </c>
      <c r="J394" s="56">
        <f t="shared" si="63"/>
        <v>0</v>
      </c>
      <c r="K394" s="72">
        <f>'проект бюджета 2013'!K212</f>
        <v>60</v>
      </c>
      <c r="L394" s="72">
        <f>'проект бюджета 2013'!M212</f>
        <v>66</v>
      </c>
      <c r="M394" s="228">
        <f>'проект бюджета 2013'!N212</f>
        <v>42</v>
      </c>
      <c r="N394" s="228">
        <f>'проект бюджета 2013'!O212</f>
        <v>42</v>
      </c>
      <c r="O394" s="262">
        <f t="shared" si="60"/>
        <v>100</v>
      </c>
      <c r="P394" s="146"/>
    </row>
    <row r="395" spans="1:16" ht="14.25">
      <c r="A395" s="123" t="s">
        <v>221</v>
      </c>
      <c r="B395" s="3"/>
      <c r="C395" s="11" t="s">
        <v>148</v>
      </c>
      <c r="D395" s="11" t="s">
        <v>174</v>
      </c>
      <c r="E395" s="12" t="s">
        <v>156</v>
      </c>
      <c r="F395" s="49"/>
      <c r="G395" s="34"/>
      <c r="H395" s="72"/>
      <c r="I395" s="72"/>
      <c r="J395" s="56"/>
      <c r="K395" s="72"/>
      <c r="L395" s="72"/>
      <c r="M395" s="228">
        <f aca="true" t="shared" si="71" ref="M395:O397">M396</f>
        <v>350</v>
      </c>
      <c r="N395" s="228">
        <f t="shared" si="71"/>
        <v>350</v>
      </c>
      <c r="O395" s="262">
        <f t="shared" si="60"/>
        <v>100</v>
      </c>
      <c r="P395" s="146"/>
    </row>
    <row r="396" spans="1:16" ht="25.5">
      <c r="A396" s="123" t="s">
        <v>398</v>
      </c>
      <c r="B396" s="3"/>
      <c r="C396" s="11" t="s">
        <v>148</v>
      </c>
      <c r="D396" s="11" t="s">
        <v>174</v>
      </c>
      <c r="E396" s="13" t="s">
        <v>413</v>
      </c>
      <c r="F396" s="13"/>
      <c r="G396" s="34"/>
      <c r="H396" s="72"/>
      <c r="I396" s="72"/>
      <c r="J396" s="56"/>
      <c r="K396" s="72"/>
      <c r="L396" s="72"/>
      <c r="M396" s="228">
        <f t="shared" si="71"/>
        <v>350</v>
      </c>
      <c r="N396" s="228">
        <f t="shared" si="71"/>
        <v>350</v>
      </c>
      <c r="O396" s="262">
        <f t="shared" si="60"/>
        <v>100</v>
      </c>
      <c r="P396" s="146"/>
    </row>
    <row r="397" spans="1:16" ht="14.25">
      <c r="A397" s="6" t="s">
        <v>332</v>
      </c>
      <c r="B397" s="3"/>
      <c r="C397" s="11" t="s">
        <v>148</v>
      </c>
      <c r="D397" s="11" t="s">
        <v>174</v>
      </c>
      <c r="E397" s="13" t="s">
        <v>413</v>
      </c>
      <c r="F397" s="13" t="s">
        <v>331</v>
      </c>
      <c r="G397" s="34"/>
      <c r="H397" s="72"/>
      <c r="I397" s="72"/>
      <c r="J397" s="56"/>
      <c r="K397" s="72"/>
      <c r="L397" s="72"/>
      <c r="M397" s="228">
        <f t="shared" si="71"/>
        <v>350</v>
      </c>
      <c r="N397" s="228">
        <f t="shared" si="71"/>
        <v>350</v>
      </c>
      <c r="O397" s="262">
        <f t="shared" si="60"/>
        <v>100</v>
      </c>
      <c r="P397" s="146"/>
    </row>
    <row r="398" spans="1:16" ht="14.25">
      <c r="A398" s="6" t="s">
        <v>209</v>
      </c>
      <c r="B398" s="3"/>
      <c r="C398" s="11" t="s">
        <v>148</v>
      </c>
      <c r="D398" s="11" t="s">
        <v>174</v>
      </c>
      <c r="E398" s="13" t="s">
        <v>413</v>
      </c>
      <c r="F398" s="13" t="s">
        <v>331</v>
      </c>
      <c r="G398" s="157">
        <v>3</v>
      </c>
      <c r="H398" s="72"/>
      <c r="I398" s="72"/>
      <c r="J398" s="56"/>
      <c r="K398" s="72"/>
      <c r="L398" s="72"/>
      <c r="M398" s="228">
        <f>'проект бюджета 2013'!N220</f>
        <v>350</v>
      </c>
      <c r="N398" s="228">
        <f>'проект бюджета 2013'!O220</f>
        <v>350</v>
      </c>
      <c r="O398" s="262">
        <f t="shared" si="60"/>
        <v>100</v>
      </c>
      <c r="P398" s="146"/>
    </row>
    <row r="399" spans="1:16" ht="14.25">
      <c r="A399" s="4" t="s">
        <v>295</v>
      </c>
      <c r="B399" s="4"/>
      <c r="C399" s="11" t="s">
        <v>148</v>
      </c>
      <c r="D399" s="11" t="s">
        <v>180</v>
      </c>
      <c r="E399" s="11">
        <v>0</v>
      </c>
      <c r="F399" s="11"/>
      <c r="G399" s="11"/>
      <c r="H399" s="55" t="e">
        <f>H400+H417</f>
        <v>#REF!</v>
      </c>
      <c r="I399" s="55" t="e">
        <f>I400+I417</f>
        <v>#REF!</v>
      </c>
      <c r="J399" s="56" t="e">
        <f t="shared" si="63"/>
        <v>#REF!</v>
      </c>
      <c r="K399" s="55" t="e">
        <f>K400+K417+K433</f>
        <v>#REF!</v>
      </c>
      <c r="L399" s="55">
        <f>L400+L417+L433+L422+L436</f>
        <v>7620.7</v>
      </c>
      <c r="M399" s="207">
        <f>M400+M417+M433+M422+M436</f>
        <v>10240.541439999999</v>
      </c>
      <c r="N399" s="207">
        <f>N400+N417+N433+N422+N436</f>
        <v>10117.41068</v>
      </c>
      <c r="O399" s="262">
        <f t="shared" si="60"/>
        <v>98.79761474799523</v>
      </c>
      <c r="P399" s="146"/>
    </row>
    <row r="400" spans="1:16" ht="14.25">
      <c r="A400" s="5" t="s">
        <v>84</v>
      </c>
      <c r="B400" s="5"/>
      <c r="C400" s="11" t="s">
        <v>148</v>
      </c>
      <c r="D400" s="11" t="s">
        <v>180</v>
      </c>
      <c r="E400" s="12" t="s">
        <v>73</v>
      </c>
      <c r="F400" s="12"/>
      <c r="G400" s="12"/>
      <c r="H400" s="55">
        <f>H401</f>
        <v>119.8</v>
      </c>
      <c r="I400" s="55">
        <f>I401</f>
        <v>66</v>
      </c>
      <c r="J400" s="56">
        <f t="shared" si="63"/>
        <v>-53.8</v>
      </c>
      <c r="K400" s="55">
        <f>K401</f>
        <v>66</v>
      </c>
      <c r="L400" s="55">
        <f>L401+L405</f>
        <v>852.4</v>
      </c>
      <c r="M400" s="207">
        <f>M401+M405</f>
        <v>4059.1504400000003</v>
      </c>
      <c r="N400" s="207">
        <f>N401+N405</f>
        <v>3998.41327</v>
      </c>
      <c r="O400" s="262">
        <f t="shared" si="60"/>
        <v>98.50369748798961</v>
      </c>
      <c r="P400" s="146"/>
    </row>
    <row r="401" spans="1:16" ht="38.25">
      <c r="A401" s="105" t="s">
        <v>367</v>
      </c>
      <c r="B401" s="5"/>
      <c r="C401" s="11" t="s">
        <v>148</v>
      </c>
      <c r="D401" s="11" t="s">
        <v>180</v>
      </c>
      <c r="E401" s="12" t="s">
        <v>118</v>
      </c>
      <c r="F401" s="12"/>
      <c r="G401" s="12"/>
      <c r="H401" s="55">
        <f>H402</f>
        <v>119.8</v>
      </c>
      <c r="I401" s="55">
        <f>I402</f>
        <v>66</v>
      </c>
      <c r="J401" s="56">
        <f>I401-H401</f>
        <v>-53.8</v>
      </c>
      <c r="K401" s="55">
        <f>K402</f>
        <v>66</v>
      </c>
      <c r="L401" s="55">
        <f>L402</f>
        <v>37.3</v>
      </c>
      <c r="M401" s="207">
        <f>M402</f>
        <v>152.35044</v>
      </c>
      <c r="N401" s="207">
        <f>N402</f>
        <v>91.61327</v>
      </c>
      <c r="O401" s="262">
        <f aca="true" t="shared" si="72" ref="O401:O464">N401/M401*100</f>
        <v>60.13324936902053</v>
      </c>
      <c r="P401" s="146"/>
    </row>
    <row r="402" spans="1:16" ht="14.25">
      <c r="A402" s="6" t="s">
        <v>330</v>
      </c>
      <c r="B402" s="6"/>
      <c r="C402" s="11" t="s">
        <v>148</v>
      </c>
      <c r="D402" s="11" t="s">
        <v>180</v>
      </c>
      <c r="E402" s="12" t="s">
        <v>118</v>
      </c>
      <c r="F402" s="13" t="s">
        <v>280</v>
      </c>
      <c r="G402" s="13"/>
      <c r="H402" s="55">
        <f>H404</f>
        <v>119.8</v>
      </c>
      <c r="I402" s="55">
        <f>I404</f>
        <v>66</v>
      </c>
      <c r="J402" s="56">
        <f>I402-H402</f>
        <v>-53.8</v>
      </c>
      <c r="K402" s="55">
        <f>K404</f>
        <v>66</v>
      </c>
      <c r="L402" s="55">
        <f>L404+L403</f>
        <v>37.3</v>
      </c>
      <c r="M402" s="207">
        <f>M404+M403</f>
        <v>152.35044</v>
      </c>
      <c r="N402" s="207">
        <f>N404+N403</f>
        <v>91.61327</v>
      </c>
      <c r="O402" s="262">
        <f t="shared" si="72"/>
        <v>60.13324936902053</v>
      </c>
      <c r="P402" s="146"/>
    </row>
    <row r="403" spans="1:16" ht="15" customHeight="1">
      <c r="A403" s="6" t="s">
        <v>210</v>
      </c>
      <c r="B403" s="6"/>
      <c r="C403" s="11" t="s">
        <v>148</v>
      </c>
      <c r="D403" s="11" t="s">
        <v>180</v>
      </c>
      <c r="E403" s="12" t="s">
        <v>118</v>
      </c>
      <c r="F403" s="13" t="s">
        <v>280</v>
      </c>
      <c r="G403" s="167" t="s">
        <v>213</v>
      </c>
      <c r="H403" s="55"/>
      <c r="I403" s="55"/>
      <c r="J403" s="56"/>
      <c r="K403" s="55"/>
      <c r="L403" s="55">
        <f>'проект бюджета 2013'!M225</f>
        <v>37.3</v>
      </c>
      <c r="M403" s="207">
        <f>'проект бюджета 2013'!N225</f>
        <v>152.35044</v>
      </c>
      <c r="N403" s="207">
        <f>'проект бюджета 2013'!O225</f>
        <v>91.61327</v>
      </c>
      <c r="O403" s="262">
        <f t="shared" si="72"/>
        <v>60.13324936902053</v>
      </c>
      <c r="P403" s="146"/>
    </row>
    <row r="404" spans="1:16" ht="15" customHeight="1">
      <c r="A404" s="6" t="s">
        <v>211</v>
      </c>
      <c r="B404" s="6"/>
      <c r="C404" s="11" t="s">
        <v>148</v>
      </c>
      <c r="D404" s="11" t="s">
        <v>180</v>
      </c>
      <c r="E404" s="12" t="s">
        <v>118</v>
      </c>
      <c r="F404" s="13" t="s">
        <v>280</v>
      </c>
      <c r="G404" s="167" t="s">
        <v>214</v>
      </c>
      <c r="H404" s="55">
        <f>'проект бюджета 2013'!H226</f>
        <v>119.8</v>
      </c>
      <c r="I404" s="55">
        <f>'проект бюджета 2013'!I226</f>
        <v>66</v>
      </c>
      <c r="J404" s="56">
        <f>I404-H404</f>
        <v>-53.8</v>
      </c>
      <c r="K404" s="55">
        <f>'проект бюджета 2013'!K226</f>
        <v>66</v>
      </c>
      <c r="L404" s="55">
        <f>'проект бюджета 2013'!M226</f>
        <v>0</v>
      </c>
      <c r="M404" s="207">
        <f>'проект бюджета 2013'!N226</f>
        <v>0</v>
      </c>
      <c r="N404" s="207">
        <f>'проект бюджета 2013'!O226</f>
        <v>0</v>
      </c>
      <c r="O404" s="262"/>
      <c r="P404" s="146"/>
    </row>
    <row r="405" spans="1:16" ht="51">
      <c r="A405" s="6" t="s">
        <v>336</v>
      </c>
      <c r="B405" s="6"/>
      <c r="C405" s="11" t="s">
        <v>148</v>
      </c>
      <c r="D405" s="11" t="s">
        <v>180</v>
      </c>
      <c r="E405" s="37" t="s">
        <v>334</v>
      </c>
      <c r="F405" s="13"/>
      <c r="G405" s="34"/>
      <c r="H405" s="55"/>
      <c r="I405" s="55"/>
      <c r="J405" s="56"/>
      <c r="K405" s="55"/>
      <c r="L405" s="55">
        <f aca="true" t="shared" si="73" ref="L405:O407">L406</f>
        <v>815.1</v>
      </c>
      <c r="M405" s="207">
        <f>M406+M409+M413</f>
        <v>3906.8</v>
      </c>
      <c r="N405" s="207">
        <f>N406+N409+N413</f>
        <v>3906.8</v>
      </c>
      <c r="O405" s="262">
        <f t="shared" si="72"/>
        <v>100</v>
      </c>
      <c r="P405" s="146"/>
    </row>
    <row r="406" spans="1:16" ht="51">
      <c r="A406" s="6" t="s">
        <v>333</v>
      </c>
      <c r="B406" s="6"/>
      <c r="C406" s="11" t="s">
        <v>148</v>
      </c>
      <c r="D406" s="11" t="s">
        <v>180</v>
      </c>
      <c r="E406" s="37" t="s">
        <v>335</v>
      </c>
      <c r="F406" s="13"/>
      <c r="G406" s="34"/>
      <c r="H406" s="55"/>
      <c r="I406" s="55"/>
      <c r="J406" s="56"/>
      <c r="K406" s="55"/>
      <c r="L406" s="55">
        <f t="shared" si="73"/>
        <v>815.1</v>
      </c>
      <c r="M406" s="207">
        <f t="shared" si="73"/>
        <v>0</v>
      </c>
      <c r="N406" s="207">
        <f t="shared" si="73"/>
        <v>0</v>
      </c>
      <c r="O406" s="262"/>
      <c r="P406" s="146"/>
    </row>
    <row r="407" spans="1:16" ht="15" customHeight="1">
      <c r="A407" s="6" t="s">
        <v>332</v>
      </c>
      <c r="B407" s="6"/>
      <c r="C407" s="11" t="s">
        <v>148</v>
      </c>
      <c r="D407" s="11" t="s">
        <v>180</v>
      </c>
      <c r="E407" s="37" t="s">
        <v>335</v>
      </c>
      <c r="F407" s="13" t="s">
        <v>331</v>
      </c>
      <c r="G407" s="34"/>
      <c r="H407" s="55"/>
      <c r="I407" s="55"/>
      <c r="J407" s="56"/>
      <c r="K407" s="55"/>
      <c r="L407" s="55">
        <f t="shared" si="73"/>
        <v>815.1</v>
      </c>
      <c r="M407" s="207">
        <f t="shared" si="73"/>
        <v>0</v>
      </c>
      <c r="N407" s="207">
        <f t="shared" si="73"/>
        <v>0</v>
      </c>
      <c r="O407" s="262"/>
      <c r="P407" s="146"/>
    </row>
    <row r="408" spans="1:16" ht="15" customHeight="1">
      <c r="A408" s="6" t="s">
        <v>211</v>
      </c>
      <c r="B408" s="6"/>
      <c r="C408" s="11" t="s">
        <v>148</v>
      </c>
      <c r="D408" s="11" t="s">
        <v>180</v>
      </c>
      <c r="E408" s="37" t="s">
        <v>335</v>
      </c>
      <c r="F408" s="13" t="s">
        <v>331</v>
      </c>
      <c r="G408" s="157">
        <v>2</v>
      </c>
      <c r="H408" s="55"/>
      <c r="I408" s="55"/>
      <c r="J408" s="56"/>
      <c r="K408" s="55"/>
      <c r="L408" s="55">
        <f>'проект бюджета 2013'!M230</f>
        <v>815.1</v>
      </c>
      <c r="M408" s="207">
        <f>'проект бюджета 2013'!N230</f>
        <v>0</v>
      </c>
      <c r="N408" s="207">
        <f>'проект бюджета 2013'!O230</f>
        <v>0</v>
      </c>
      <c r="O408" s="262"/>
      <c r="P408" s="146"/>
    </row>
    <row r="409" spans="1:16" ht="64.5" customHeight="1">
      <c r="A409" s="6" t="s">
        <v>420</v>
      </c>
      <c r="B409" s="6"/>
      <c r="C409" s="11" t="s">
        <v>148</v>
      </c>
      <c r="D409" s="11" t="s">
        <v>180</v>
      </c>
      <c r="E409" s="37" t="s">
        <v>421</v>
      </c>
      <c r="F409" s="13"/>
      <c r="G409" s="34"/>
      <c r="H409" s="55"/>
      <c r="I409" s="55"/>
      <c r="J409" s="56"/>
      <c r="K409" s="55"/>
      <c r="L409" s="55"/>
      <c r="M409" s="207">
        <f>M410</f>
        <v>3055</v>
      </c>
      <c r="N409" s="207">
        <f>N410</f>
        <v>3055</v>
      </c>
      <c r="O409" s="262">
        <f t="shared" si="72"/>
        <v>100</v>
      </c>
      <c r="P409" s="146"/>
    </row>
    <row r="410" spans="1:16" ht="15" customHeight="1">
      <c r="A410" s="6" t="s">
        <v>332</v>
      </c>
      <c r="B410" s="6"/>
      <c r="C410" s="11" t="s">
        <v>148</v>
      </c>
      <c r="D410" s="11" t="s">
        <v>180</v>
      </c>
      <c r="E410" s="37" t="s">
        <v>421</v>
      </c>
      <c r="F410" s="13" t="s">
        <v>331</v>
      </c>
      <c r="G410" s="34"/>
      <c r="H410" s="55"/>
      <c r="I410" s="55"/>
      <c r="J410" s="56"/>
      <c r="K410" s="55"/>
      <c r="L410" s="55"/>
      <c r="M410" s="207">
        <f>M412+M411</f>
        <v>3055</v>
      </c>
      <c r="N410" s="207">
        <f>N412+N411</f>
        <v>3055</v>
      </c>
      <c r="O410" s="262">
        <f t="shared" si="72"/>
        <v>100</v>
      </c>
      <c r="P410" s="146"/>
    </row>
    <row r="411" spans="1:16" ht="15" customHeight="1">
      <c r="A411" s="6" t="s">
        <v>210</v>
      </c>
      <c r="B411" s="6"/>
      <c r="C411" s="11" t="s">
        <v>148</v>
      </c>
      <c r="D411" s="11" t="s">
        <v>180</v>
      </c>
      <c r="E411" s="37" t="s">
        <v>421</v>
      </c>
      <c r="F411" s="13" t="s">
        <v>331</v>
      </c>
      <c r="G411" s="157">
        <v>1</v>
      </c>
      <c r="H411" s="55"/>
      <c r="I411" s="55"/>
      <c r="J411" s="56"/>
      <c r="K411" s="55"/>
      <c r="L411" s="55"/>
      <c r="M411" s="207">
        <f>'проект бюджета 2013'!N233</f>
        <v>0</v>
      </c>
      <c r="N411" s="207">
        <f>'проект бюджета 2013'!O233</f>
        <v>0</v>
      </c>
      <c r="O411" s="262"/>
      <c r="P411" s="146"/>
    </row>
    <row r="412" spans="1:16" ht="15" customHeight="1">
      <c r="A412" s="6" t="s">
        <v>211</v>
      </c>
      <c r="B412" s="6"/>
      <c r="C412" s="11" t="s">
        <v>148</v>
      </c>
      <c r="D412" s="11" t="s">
        <v>180</v>
      </c>
      <c r="E412" s="37" t="s">
        <v>421</v>
      </c>
      <c r="F412" s="13" t="s">
        <v>331</v>
      </c>
      <c r="G412" s="157">
        <v>2</v>
      </c>
      <c r="H412" s="55"/>
      <c r="I412" s="55"/>
      <c r="J412" s="56"/>
      <c r="K412" s="55"/>
      <c r="L412" s="55"/>
      <c r="M412" s="207">
        <f>'проект бюджета 2013'!N234</f>
        <v>3055</v>
      </c>
      <c r="N412" s="207">
        <f>'проект бюджета 2013'!O234</f>
        <v>3055</v>
      </c>
      <c r="O412" s="262">
        <f t="shared" si="72"/>
        <v>100</v>
      </c>
      <c r="P412" s="146"/>
    </row>
    <row r="413" spans="1:16" ht="66" customHeight="1">
      <c r="A413" s="6" t="s">
        <v>442</v>
      </c>
      <c r="B413" s="6"/>
      <c r="C413" s="11" t="s">
        <v>148</v>
      </c>
      <c r="D413" s="11" t="s">
        <v>180</v>
      </c>
      <c r="E413" s="37" t="s">
        <v>441</v>
      </c>
      <c r="F413" s="13"/>
      <c r="G413" s="34"/>
      <c r="H413" s="55"/>
      <c r="I413" s="55"/>
      <c r="J413" s="56"/>
      <c r="K413" s="55"/>
      <c r="L413" s="55"/>
      <c r="M413" s="207">
        <f>M414</f>
        <v>851.8</v>
      </c>
      <c r="N413" s="207">
        <f>N414</f>
        <v>851.8</v>
      </c>
      <c r="O413" s="262">
        <f t="shared" si="72"/>
        <v>100</v>
      </c>
      <c r="P413" s="146"/>
    </row>
    <row r="414" spans="1:16" ht="15" customHeight="1">
      <c r="A414" s="6" t="s">
        <v>332</v>
      </c>
      <c r="B414" s="6"/>
      <c r="C414" s="11" t="s">
        <v>148</v>
      </c>
      <c r="D414" s="11" t="s">
        <v>180</v>
      </c>
      <c r="E414" s="37" t="s">
        <v>441</v>
      </c>
      <c r="F414" s="13" t="s">
        <v>331</v>
      </c>
      <c r="G414" s="34"/>
      <c r="H414" s="55"/>
      <c r="I414" s="55"/>
      <c r="J414" s="56"/>
      <c r="K414" s="55"/>
      <c r="L414" s="55"/>
      <c r="M414" s="207">
        <f>M415+M416</f>
        <v>851.8</v>
      </c>
      <c r="N414" s="207">
        <f>N415+N416</f>
        <v>851.8</v>
      </c>
      <c r="O414" s="262">
        <f t="shared" si="72"/>
        <v>100</v>
      </c>
      <c r="P414" s="146"/>
    </row>
    <row r="415" spans="1:16" ht="15" customHeight="1">
      <c r="A415" s="5" t="s">
        <v>210</v>
      </c>
      <c r="B415" s="6"/>
      <c r="C415" s="11" t="s">
        <v>148</v>
      </c>
      <c r="D415" s="11" t="s">
        <v>180</v>
      </c>
      <c r="E415" s="37" t="s">
        <v>441</v>
      </c>
      <c r="F415" s="13" t="s">
        <v>331</v>
      </c>
      <c r="G415" s="34">
        <v>1</v>
      </c>
      <c r="H415" s="55"/>
      <c r="I415" s="55"/>
      <c r="J415" s="56"/>
      <c r="K415" s="55"/>
      <c r="L415" s="55"/>
      <c r="M415" s="207">
        <f>'проект бюджета 2013'!N237</f>
        <v>0</v>
      </c>
      <c r="N415" s="207">
        <f>'проект бюджета 2013'!O237</f>
        <v>0</v>
      </c>
      <c r="O415" s="262" t="e">
        <f t="shared" si="72"/>
        <v>#DIV/0!</v>
      </c>
      <c r="P415" s="146"/>
    </row>
    <row r="416" spans="1:16" ht="15" customHeight="1">
      <c r="A416" s="6" t="s">
        <v>211</v>
      </c>
      <c r="B416" s="6"/>
      <c r="C416" s="11" t="s">
        <v>148</v>
      </c>
      <c r="D416" s="11" t="s">
        <v>180</v>
      </c>
      <c r="E416" s="37" t="s">
        <v>441</v>
      </c>
      <c r="F416" s="13" t="s">
        <v>331</v>
      </c>
      <c r="G416" s="34">
        <v>2</v>
      </c>
      <c r="H416" s="55"/>
      <c r="I416" s="55"/>
      <c r="J416" s="56"/>
      <c r="K416" s="55"/>
      <c r="L416" s="55"/>
      <c r="M416" s="207">
        <f>'проект бюджета 2013'!N238</f>
        <v>851.8</v>
      </c>
      <c r="N416" s="207">
        <f>'проект бюджета 2013'!O238</f>
        <v>851.8</v>
      </c>
      <c r="O416" s="262">
        <f t="shared" si="72"/>
        <v>100</v>
      </c>
      <c r="P416" s="146"/>
    </row>
    <row r="417" spans="1:16" ht="14.25">
      <c r="A417" s="5" t="s">
        <v>5</v>
      </c>
      <c r="B417" s="5"/>
      <c r="C417" s="11" t="s">
        <v>148</v>
      </c>
      <c r="D417" s="11" t="s">
        <v>180</v>
      </c>
      <c r="E417" s="12" t="s">
        <v>6</v>
      </c>
      <c r="F417" s="12"/>
      <c r="G417" s="12"/>
      <c r="H417" s="55" t="e">
        <f>#REF!+#REF!+#REF!+H418</f>
        <v>#REF!</v>
      </c>
      <c r="I417" s="55" t="e">
        <f>#REF!+#REF!+#REF!+I418</f>
        <v>#REF!</v>
      </c>
      <c r="J417" s="56" t="e">
        <f>I417-H417</f>
        <v>#REF!</v>
      </c>
      <c r="K417" s="55" t="e">
        <f>#REF!+#REF!+#REF!+K418</f>
        <v>#REF!</v>
      </c>
      <c r="L417" s="55">
        <f aca="true" t="shared" si="74" ref="L417:O418">L418</f>
        <v>298.9</v>
      </c>
      <c r="M417" s="207">
        <f t="shared" si="74"/>
        <v>500.5</v>
      </c>
      <c r="N417" s="207">
        <f t="shared" si="74"/>
        <v>500.5</v>
      </c>
      <c r="O417" s="262">
        <f t="shared" si="72"/>
        <v>100</v>
      </c>
      <c r="P417" s="146"/>
    </row>
    <row r="418" spans="1:16" ht="51">
      <c r="A418" s="5" t="s">
        <v>121</v>
      </c>
      <c r="B418" s="5"/>
      <c r="C418" s="11" t="s">
        <v>148</v>
      </c>
      <c r="D418" s="11" t="s">
        <v>180</v>
      </c>
      <c r="E418" s="12" t="s">
        <v>122</v>
      </c>
      <c r="F418" s="12"/>
      <c r="G418" s="12"/>
      <c r="H418" s="55">
        <f>H419</f>
        <v>324.7</v>
      </c>
      <c r="I418" s="55">
        <f>I419</f>
        <v>210.9</v>
      </c>
      <c r="J418" s="56">
        <f>I418-H418</f>
        <v>-113.79999999999998</v>
      </c>
      <c r="K418" s="55">
        <f>K419</f>
        <v>210.9</v>
      </c>
      <c r="L418" s="55">
        <f t="shared" si="74"/>
        <v>298.9</v>
      </c>
      <c r="M418" s="207">
        <f t="shared" si="74"/>
        <v>500.5</v>
      </c>
      <c r="N418" s="207">
        <f t="shared" si="74"/>
        <v>500.5</v>
      </c>
      <c r="O418" s="262">
        <f t="shared" si="72"/>
        <v>100</v>
      </c>
      <c r="P418" s="146"/>
    </row>
    <row r="419" spans="1:16" ht="25.5">
      <c r="A419" s="6" t="s">
        <v>348</v>
      </c>
      <c r="B419" s="6"/>
      <c r="C419" s="11" t="s">
        <v>148</v>
      </c>
      <c r="D419" s="11" t="s">
        <v>180</v>
      </c>
      <c r="E419" s="12" t="s">
        <v>122</v>
      </c>
      <c r="F419" s="13" t="s">
        <v>347</v>
      </c>
      <c r="G419" s="13"/>
      <c r="H419" s="55">
        <f>'проект бюджета 2013'!H443</f>
        <v>324.7</v>
      </c>
      <c r="I419" s="55">
        <f>'проект бюджета 2013'!I443</f>
        <v>210.9</v>
      </c>
      <c r="J419" s="56">
        <f>I419-H419</f>
        <v>-113.79999999999998</v>
      </c>
      <c r="K419" s="55">
        <f>'проект бюджета 2013'!K443</f>
        <v>210.9</v>
      </c>
      <c r="L419" s="55">
        <f>'проект бюджета 2013'!M443</f>
        <v>298.9</v>
      </c>
      <c r="M419" s="207">
        <f>'проект бюджета 2013'!N443</f>
        <v>500.5</v>
      </c>
      <c r="N419" s="207">
        <f>'проект бюджета 2013'!O443</f>
        <v>500.5</v>
      </c>
      <c r="O419" s="262">
        <f t="shared" si="72"/>
        <v>100</v>
      </c>
      <c r="P419" s="146"/>
    </row>
    <row r="420" spans="1:16" ht="14.25">
      <c r="A420" s="6" t="s">
        <v>210</v>
      </c>
      <c r="B420" s="6"/>
      <c r="C420" s="11" t="s">
        <v>148</v>
      </c>
      <c r="D420" s="11" t="s">
        <v>180</v>
      </c>
      <c r="E420" s="12" t="s">
        <v>122</v>
      </c>
      <c r="F420" s="13" t="s">
        <v>347</v>
      </c>
      <c r="G420" s="167" t="s">
        <v>213</v>
      </c>
      <c r="H420" s="55">
        <f>'проект бюджета 2013'!H444</f>
        <v>324.7</v>
      </c>
      <c r="I420" s="55">
        <f>'проект бюджета 2013'!I444</f>
        <v>210.9</v>
      </c>
      <c r="J420" s="56">
        <f>I420-H420</f>
        <v>-113.79999999999998</v>
      </c>
      <c r="K420" s="55">
        <f>'проект бюджета 2013'!K444</f>
        <v>210.9</v>
      </c>
      <c r="L420" s="55">
        <f>'проект бюджета 2013'!M444</f>
        <v>0</v>
      </c>
      <c r="M420" s="207">
        <f>'проект бюджета 2013'!N444</f>
        <v>0</v>
      </c>
      <c r="N420" s="207">
        <f>'проект бюджета 2013'!O444</f>
        <v>0</v>
      </c>
      <c r="O420" s="262"/>
      <c r="P420" s="146"/>
    </row>
    <row r="421" spans="1:16" ht="14.25">
      <c r="A421" s="6" t="s">
        <v>211</v>
      </c>
      <c r="B421" s="6"/>
      <c r="C421" s="11" t="s">
        <v>148</v>
      </c>
      <c r="D421" s="11" t="s">
        <v>180</v>
      </c>
      <c r="E421" s="12" t="s">
        <v>122</v>
      </c>
      <c r="F421" s="13" t="s">
        <v>347</v>
      </c>
      <c r="G421" s="167" t="s">
        <v>214</v>
      </c>
      <c r="H421" s="55"/>
      <c r="I421" s="55"/>
      <c r="J421" s="56"/>
      <c r="K421" s="55"/>
      <c r="L421" s="55">
        <f>'проект бюджета 2013'!M445</f>
        <v>298.9</v>
      </c>
      <c r="M421" s="207">
        <f>'проект бюджета 2013'!N445</f>
        <v>500.5</v>
      </c>
      <c r="N421" s="207">
        <f>'проект бюджета 2013'!O445</f>
        <v>500.5</v>
      </c>
      <c r="O421" s="262">
        <f t="shared" si="72"/>
        <v>100</v>
      </c>
      <c r="P421" s="146"/>
    </row>
    <row r="422" spans="1:16" ht="38.25">
      <c r="A422" s="6" t="s">
        <v>325</v>
      </c>
      <c r="B422" s="6"/>
      <c r="C422" s="11" t="s">
        <v>148</v>
      </c>
      <c r="D422" s="11" t="s">
        <v>180</v>
      </c>
      <c r="E422" s="37" t="s">
        <v>324</v>
      </c>
      <c r="F422" s="13"/>
      <c r="G422" s="34"/>
      <c r="H422" s="55"/>
      <c r="I422" s="55"/>
      <c r="J422" s="56"/>
      <c r="K422" s="55"/>
      <c r="L422" s="55">
        <f>L423+L430</f>
        <v>5953.2</v>
      </c>
      <c r="M422" s="207">
        <f>M423+M430</f>
        <v>5569.08</v>
      </c>
      <c r="N422" s="207">
        <f>N423+N430</f>
        <v>5556.6873000000005</v>
      </c>
      <c r="O422" s="262">
        <f t="shared" si="72"/>
        <v>99.77747311943806</v>
      </c>
      <c r="P422" s="146"/>
    </row>
    <row r="423" spans="1:16" ht="25.5">
      <c r="A423" s="6" t="s">
        <v>327</v>
      </c>
      <c r="B423" s="6"/>
      <c r="C423" s="11" t="s">
        <v>148</v>
      </c>
      <c r="D423" s="11" t="s">
        <v>180</v>
      </c>
      <c r="E423" s="37" t="s">
        <v>326</v>
      </c>
      <c r="F423" s="13"/>
      <c r="G423" s="34"/>
      <c r="H423" s="55"/>
      <c r="I423" s="55"/>
      <c r="J423" s="56"/>
      <c r="K423" s="55"/>
      <c r="L423" s="55">
        <f>L427+L424</f>
        <v>199.7</v>
      </c>
      <c r="M423" s="207">
        <f>M427+M424</f>
        <v>56.980000000000004</v>
      </c>
      <c r="N423" s="207">
        <f>N427+N424</f>
        <v>56.96852</v>
      </c>
      <c r="O423" s="262">
        <f t="shared" si="72"/>
        <v>99.97985257985256</v>
      </c>
      <c r="P423" s="146"/>
    </row>
    <row r="424" spans="1:16" ht="63.75">
      <c r="A424" s="6" t="s">
        <v>285</v>
      </c>
      <c r="B424" s="6"/>
      <c r="C424" s="11" t="s">
        <v>148</v>
      </c>
      <c r="D424" s="11" t="s">
        <v>180</v>
      </c>
      <c r="E424" s="37" t="s">
        <v>329</v>
      </c>
      <c r="F424" s="13"/>
      <c r="G424" s="34"/>
      <c r="H424" s="55"/>
      <c r="I424" s="55"/>
      <c r="J424" s="56"/>
      <c r="K424" s="55"/>
      <c r="L424" s="55">
        <f aca="true" t="shared" si="75" ref="L424:O425">L425</f>
        <v>152.7</v>
      </c>
      <c r="M424" s="207">
        <f t="shared" si="75"/>
        <v>56.980000000000004</v>
      </c>
      <c r="N424" s="207">
        <f t="shared" si="75"/>
        <v>56.96852</v>
      </c>
      <c r="O424" s="262">
        <f t="shared" si="72"/>
        <v>99.97985257985256</v>
      </c>
      <c r="P424" s="146"/>
    </row>
    <row r="425" spans="1:16" ht="25.5">
      <c r="A425" s="6" t="s">
        <v>348</v>
      </c>
      <c r="B425" s="6"/>
      <c r="C425" s="11" t="s">
        <v>148</v>
      </c>
      <c r="D425" s="11" t="s">
        <v>180</v>
      </c>
      <c r="E425" s="37" t="s">
        <v>329</v>
      </c>
      <c r="F425" s="13" t="s">
        <v>347</v>
      </c>
      <c r="G425" s="34"/>
      <c r="H425" s="55"/>
      <c r="I425" s="55"/>
      <c r="J425" s="56"/>
      <c r="K425" s="55"/>
      <c r="L425" s="55">
        <f t="shared" si="75"/>
        <v>152.7</v>
      </c>
      <c r="M425" s="207">
        <f t="shared" si="75"/>
        <v>56.980000000000004</v>
      </c>
      <c r="N425" s="207">
        <f t="shared" si="75"/>
        <v>56.96852</v>
      </c>
      <c r="O425" s="262">
        <f t="shared" si="72"/>
        <v>99.97985257985256</v>
      </c>
      <c r="P425" s="146"/>
    </row>
    <row r="426" spans="1:16" ht="14.25">
      <c r="A426" s="6" t="s">
        <v>211</v>
      </c>
      <c r="B426" s="6"/>
      <c r="C426" s="11" t="s">
        <v>148</v>
      </c>
      <c r="D426" s="11" t="s">
        <v>180</v>
      </c>
      <c r="E426" s="37" t="s">
        <v>329</v>
      </c>
      <c r="F426" s="13" t="s">
        <v>347</v>
      </c>
      <c r="G426" s="157">
        <v>2</v>
      </c>
      <c r="H426" s="55"/>
      <c r="I426" s="55"/>
      <c r="J426" s="56"/>
      <c r="K426" s="55"/>
      <c r="L426" s="55">
        <f>'проект бюджета 2013'!M450</f>
        <v>152.7</v>
      </c>
      <c r="M426" s="207">
        <f>'проект бюджета 2013'!N450</f>
        <v>56.980000000000004</v>
      </c>
      <c r="N426" s="207">
        <f>'проект бюджета 2013'!O450</f>
        <v>56.96852</v>
      </c>
      <c r="O426" s="262">
        <f t="shared" si="72"/>
        <v>99.97985257985256</v>
      </c>
      <c r="P426" s="146"/>
    </row>
    <row r="427" spans="1:16" ht="102">
      <c r="A427" s="6" t="s">
        <v>322</v>
      </c>
      <c r="B427" s="6"/>
      <c r="C427" s="11" t="s">
        <v>148</v>
      </c>
      <c r="D427" s="11" t="s">
        <v>180</v>
      </c>
      <c r="E427" s="37" t="s">
        <v>344</v>
      </c>
      <c r="F427" s="13"/>
      <c r="G427" s="34"/>
      <c r="H427" s="55"/>
      <c r="I427" s="55"/>
      <c r="J427" s="56"/>
      <c r="K427" s="55"/>
      <c r="L427" s="55">
        <f aca="true" t="shared" si="76" ref="L427:O428">L428</f>
        <v>47</v>
      </c>
      <c r="M427" s="207">
        <f t="shared" si="76"/>
        <v>0</v>
      </c>
      <c r="N427" s="207">
        <f t="shared" si="76"/>
        <v>0</v>
      </c>
      <c r="O427" s="262" t="e">
        <f t="shared" si="72"/>
        <v>#DIV/0!</v>
      </c>
      <c r="P427" s="146"/>
    </row>
    <row r="428" spans="1:16" ht="25.5">
      <c r="A428" s="6" t="s">
        <v>348</v>
      </c>
      <c r="B428" s="6"/>
      <c r="C428" s="11" t="s">
        <v>148</v>
      </c>
      <c r="D428" s="11" t="s">
        <v>180</v>
      </c>
      <c r="E428" s="37" t="s">
        <v>344</v>
      </c>
      <c r="F428" s="13" t="s">
        <v>347</v>
      </c>
      <c r="G428" s="34"/>
      <c r="H428" s="55"/>
      <c r="I428" s="55"/>
      <c r="J428" s="56"/>
      <c r="K428" s="55"/>
      <c r="L428" s="55">
        <f t="shared" si="76"/>
        <v>47</v>
      </c>
      <c r="M428" s="207">
        <f t="shared" si="76"/>
        <v>0</v>
      </c>
      <c r="N428" s="207">
        <f t="shared" si="76"/>
        <v>0</v>
      </c>
      <c r="O428" s="262" t="e">
        <f t="shared" si="72"/>
        <v>#DIV/0!</v>
      </c>
      <c r="P428" s="146"/>
    </row>
    <row r="429" spans="1:16" ht="14.25">
      <c r="A429" s="6" t="s">
        <v>211</v>
      </c>
      <c r="B429" s="6"/>
      <c r="C429" s="11" t="s">
        <v>148</v>
      </c>
      <c r="D429" s="11" t="s">
        <v>180</v>
      </c>
      <c r="E429" s="37" t="s">
        <v>344</v>
      </c>
      <c r="F429" s="13" t="s">
        <v>347</v>
      </c>
      <c r="G429" s="157">
        <v>2</v>
      </c>
      <c r="H429" s="55"/>
      <c r="I429" s="55"/>
      <c r="J429" s="56"/>
      <c r="K429" s="55"/>
      <c r="L429" s="55">
        <f>'проект бюджета 2013'!M243</f>
        <v>47</v>
      </c>
      <c r="M429" s="207">
        <f>'проект бюджета 2013'!N243</f>
        <v>0</v>
      </c>
      <c r="N429" s="207">
        <f>'проект бюджета 2013'!O243</f>
        <v>0</v>
      </c>
      <c r="O429" s="262" t="e">
        <f t="shared" si="72"/>
        <v>#DIV/0!</v>
      </c>
      <c r="P429" s="146"/>
    </row>
    <row r="430" spans="1:16" ht="38.25">
      <c r="A430" s="105" t="s">
        <v>366</v>
      </c>
      <c r="B430" s="6"/>
      <c r="C430" s="11" t="s">
        <v>148</v>
      </c>
      <c r="D430" s="11" t="s">
        <v>180</v>
      </c>
      <c r="E430" s="37" t="s">
        <v>321</v>
      </c>
      <c r="F430" s="13"/>
      <c r="G430" s="34"/>
      <c r="H430" s="55"/>
      <c r="I430" s="55"/>
      <c r="J430" s="56"/>
      <c r="K430" s="55"/>
      <c r="L430" s="55">
        <f aca="true" t="shared" si="77" ref="L430:O431">L431</f>
        <v>5753.5</v>
      </c>
      <c r="M430" s="207">
        <f t="shared" si="77"/>
        <v>5512.1</v>
      </c>
      <c r="N430" s="207">
        <f t="shared" si="77"/>
        <v>5499.71878</v>
      </c>
      <c r="O430" s="262">
        <f t="shared" si="72"/>
        <v>99.77538107073529</v>
      </c>
      <c r="P430" s="146"/>
    </row>
    <row r="431" spans="1:16" ht="14.25">
      <c r="A431" s="105" t="s">
        <v>330</v>
      </c>
      <c r="B431" s="6"/>
      <c r="C431" s="11" t="s">
        <v>148</v>
      </c>
      <c r="D431" s="11" t="s">
        <v>180</v>
      </c>
      <c r="E431" s="37" t="s">
        <v>321</v>
      </c>
      <c r="F431" s="37" t="s">
        <v>280</v>
      </c>
      <c r="G431" s="34"/>
      <c r="H431" s="55"/>
      <c r="I431" s="55"/>
      <c r="J431" s="56"/>
      <c r="K431" s="55"/>
      <c r="L431" s="55">
        <f t="shared" si="77"/>
        <v>5753.5</v>
      </c>
      <c r="M431" s="207">
        <f t="shared" si="77"/>
        <v>5512.1</v>
      </c>
      <c r="N431" s="207">
        <f t="shared" si="77"/>
        <v>5499.71878</v>
      </c>
      <c r="O431" s="262">
        <f t="shared" si="72"/>
        <v>99.77538107073529</v>
      </c>
      <c r="P431" s="146"/>
    </row>
    <row r="432" spans="1:16" ht="14.25">
      <c r="A432" s="6" t="s">
        <v>211</v>
      </c>
      <c r="B432" s="6"/>
      <c r="C432" s="11" t="s">
        <v>148</v>
      </c>
      <c r="D432" s="11" t="s">
        <v>180</v>
      </c>
      <c r="E432" s="37" t="s">
        <v>321</v>
      </c>
      <c r="F432" s="37" t="s">
        <v>280</v>
      </c>
      <c r="G432" s="157">
        <v>2</v>
      </c>
      <c r="H432" s="55"/>
      <c r="I432" s="55"/>
      <c r="J432" s="56"/>
      <c r="K432" s="55"/>
      <c r="L432" s="55">
        <f>'проект бюджета 2013'!M246</f>
        <v>5753.5</v>
      </c>
      <c r="M432" s="207">
        <f>'проект бюджета 2013'!N246</f>
        <v>5512.1</v>
      </c>
      <c r="N432" s="207">
        <f>'проект бюджета 2013'!O246</f>
        <v>5499.71878</v>
      </c>
      <c r="O432" s="262">
        <f t="shared" si="72"/>
        <v>99.77538107073529</v>
      </c>
      <c r="P432" s="146"/>
    </row>
    <row r="433" spans="1:16" ht="51">
      <c r="A433" s="6" t="s">
        <v>273</v>
      </c>
      <c r="B433" s="6"/>
      <c r="C433" s="11" t="s">
        <v>148</v>
      </c>
      <c r="D433" s="11" t="s">
        <v>180</v>
      </c>
      <c r="E433" s="12" t="s">
        <v>272</v>
      </c>
      <c r="F433" s="13"/>
      <c r="G433" s="34"/>
      <c r="H433" s="55"/>
      <c r="I433" s="55"/>
      <c r="J433" s="56"/>
      <c r="K433" s="55">
        <f aca="true" t="shared" si="78" ref="K433:O434">K434</f>
        <v>50.3</v>
      </c>
      <c r="L433" s="55">
        <f t="shared" si="78"/>
        <v>50</v>
      </c>
      <c r="M433" s="207">
        <f t="shared" si="78"/>
        <v>50</v>
      </c>
      <c r="N433" s="207">
        <f t="shared" si="78"/>
        <v>0</v>
      </c>
      <c r="O433" s="262">
        <f t="shared" si="72"/>
        <v>0</v>
      </c>
      <c r="P433" s="146"/>
    </row>
    <row r="434" spans="1:16" ht="14.25">
      <c r="A434" s="105" t="s">
        <v>330</v>
      </c>
      <c r="B434" s="6"/>
      <c r="C434" s="11" t="s">
        <v>148</v>
      </c>
      <c r="D434" s="11" t="s">
        <v>180</v>
      </c>
      <c r="E434" s="12" t="s">
        <v>272</v>
      </c>
      <c r="F434" s="13" t="s">
        <v>280</v>
      </c>
      <c r="G434" s="34"/>
      <c r="H434" s="55"/>
      <c r="I434" s="55"/>
      <c r="J434" s="56"/>
      <c r="K434" s="55">
        <f t="shared" si="78"/>
        <v>50.3</v>
      </c>
      <c r="L434" s="55">
        <f t="shared" si="78"/>
        <v>50</v>
      </c>
      <c r="M434" s="207">
        <f t="shared" si="78"/>
        <v>50</v>
      </c>
      <c r="N434" s="207">
        <f t="shared" si="78"/>
        <v>0</v>
      </c>
      <c r="O434" s="262">
        <f t="shared" si="72"/>
        <v>0</v>
      </c>
      <c r="P434" s="146"/>
    </row>
    <row r="435" spans="1:16" ht="14.25">
      <c r="A435" s="6" t="s">
        <v>211</v>
      </c>
      <c r="B435" s="6"/>
      <c r="C435" s="11" t="s">
        <v>148</v>
      </c>
      <c r="D435" s="11" t="s">
        <v>180</v>
      </c>
      <c r="E435" s="12" t="s">
        <v>272</v>
      </c>
      <c r="F435" s="13" t="s">
        <v>280</v>
      </c>
      <c r="G435" s="157">
        <v>2</v>
      </c>
      <c r="H435" s="55"/>
      <c r="I435" s="55"/>
      <c r="J435" s="56"/>
      <c r="K435" s="55">
        <f>'проект бюджета 2013'!K249</f>
        <v>50.3</v>
      </c>
      <c r="L435" s="55">
        <f>'проект бюджета 2013'!M249</f>
        <v>50</v>
      </c>
      <c r="M435" s="207">
        <f>'проект бюджета 2013'!N249</f>
        <v>50</v>
      </c>
      <c r="N435" s="207">
        <f>'проект бюджета 2013'!O249</f>
        <v>0</v>
      </c>
      <c r="O435" s="262">
        <f t="shared" si="72"/>
        <v>0</v>
      </c>
      <c r="P435" s="146"/>
    </row>
    <row r="436" spans="1:16" ht="25.5">
      <c r="A436" s="6" t="s">
        <v>297</v>
      </c>
      <c r="B436" s="6"/>
      <c r="C436" s="11" t="s">
        <v>148</v>
      </c>
      <c r="D436" s="11" t="s">
        <v>180</v>
      </c>
      <c r="E436" s="37" t="s">
        <v>296</v>
      </c>
      <c r="F436" s="13"/>
      <c r="G436" s="34"/>
      <c r="H436" s="55"/>
      <c r="I436" s="55"/>
      <c r="J436" s="56"/>
      <c r="K436" s="55"/>
      <c r="L436" s="55">
        <f aca="true" t="shared" si="79" ref="L436:O437">L437</f>
        <v>466.2</v>
      </c>
      <c r="M436" s="207">
        <f t="shared" si="79"/>
        <v>61.810999999999986</v>
      </c>
      <c r="N436" s="207">
        <f t="shared" si="79"/>
        <v>61.81011</v>
      </c>
      <c r="O436" s="262">
        <f t="shared" si="72"/>
        <v>99.99856012683829</v>
      </c>
      <c r="P436" s="146"/>
    </row>
    <row r="437" spans="1:16" ht="25.5">
      <c r="A437" s="6" t="s">
        <v>348</v>
      </c>
      <c r="B437" s="6"/>
      <c r="C437" s="11" t="s">
        <v>148</v>
      </c>
      <c r="D437" s="11" t="s">
        <v>180</v>
      </c>
      <c r="E437" s="37" t="s">
        <v>296</v>
      </c>
      <c r="F437" s="13" t="s">
        <v>347</v>
      </c>
      <c r="G437" s="34"/>
      <c r="H437" s="55"/>
      <c r="I437" s="55"/>
      <c r="J437" s="56"/>
      <c r="K437" s="55"/>
      <c r="L437" s="55">
        <f t="shared" si="79"/>
        <v>466.2</v>
      </c>
      <c r="M437" s="207">
        <f t="shared" si="79"/>
        <v>61.810999999999986</v>
      </c>
      <c r="N437" s="207">
        <f t="shared" si="79"/>
        <v>61.81011</v>
      </c>
      <c r="O437" s="262">
        <f t="shared" si="72"/>
        <v>99.99856012683829</v>
      </c>
      <c r="P437" s="146"/>
    </row>
    <row r="438" spans="1:16" ht="14.25">
      <c r="A438" s="6" t="s">
        <v>209</v>
      </c>
      <c r="B438" s="6"/>
      <c r="C438" s="11" t="s">
        <v>148</v>
      </c>
      <c r="D438" s="11" t="s">
        <v>180</v>
      </c>
      <c r="E438" s="37" t="s">
        <v>296</v>
      </c>
      <c r="F438" s="13" t="s">
        <v>347</v>
      </c>
      <c r="G438" s="157">
        <v>3</v>
      </c>
      <c r="H438" s="55"/>
      <c r="I438" s="55"/>
      <c r="J438" s="56"/>
      <c r="K438" s="55"/>
      <c r="L438" s="55">
        <f>'проект бюджета 2013'!M453</f>
        <v>466.2</v>
      </c>
      <c r="M438" s="207">
        <f>'проект бюджета 2013'!N453</f>
        <v>61.810999999999986</v>
      </c>
      <c r="N438" s="207">
        <f>'проект бюджета 2013'!O453</f>
        <v>61.81011</v>
      </c>
      <c r="O438" s="262">
        <f t="shared" si="72"/>
        <v>99.99856012683829</v>
      </c>
      <c r="P438" s="146"/>
    </row>
    <row r="439" spans="1:16" ht="14.25">
      <c r="A439" s="4" t="s">
        <v>31</v>
      </c>
      <c r="B439" s="4"/>
      <c r="C439" s="11" t="s">
        <v>148</v>
      </c>
      <c r="D439" s="11" t="s">
        <v>188</v>
      </c>
      <c r="E439" s="11"/>
      <c r="F439" s="11"/>
      <c r="G439" s="11"/>
      <c r="H439" s="55" t="e">
        <f>#REF!+#REF!+H440</f>
        <v>#REF!</v>
      </c>
      <c r="I439" s="55" t="e">
        <f>#REF!+#REF!+I440</f>
        <v>#REF!</v>
      </c>
      <c r="J439" s="56" t="e">
        <f aca="true" t="shared" si="80" ref="J439:J454">I439-H439</f>
        <v>#REF!</v>
      </c>
      <c r="K439" s="55" t="e">
        <f>#REF!+#REF!+K440</f>
        <v>#REF!</v>
      </c>
      <c r="L439" s="55">
        <f aca="true" t="shared" si="81" ref="L439:O441">L440</f>
        <v>759.8</v>
      </c>
      <c r="M439" s="207">
        <f t="shared" si="81"/>
        <v>808.9</v>
      </c>
      <c r="N439" s="207">
        <f t="shared" si="81"/>
        <v>808.9</v>
      </c>
      <c r="O439" s="262">
        <f t="shared" si="72"/>
        <v>100</v>
      </c>
      <c r="P439" s="146"/>
    </row>
    <row r="440" spans="1:16" ht="25.5">
      <c r="A440" s="5" t="s">
        <v>239</v>
      </c>
      <c r="B440" s="12" t="s">
        <v>164</v>
      </c>
      <c r="C440" s="11" t="s">
        <v>148</v>
      </c>
      <c r="D440" s="11" t="s">
        <v>188</v>
      </c>
      <c r="E440" s="12" t="s">
        <v>238</v>
      </c>
      <c r="F440" s="12"/>
      <c r="G440" s="34"/>
      <c r="H440" s="58">
        <f>H441</f>
        <v>680.7</v>
      </c>
      <c r="I440" s="58">
        <f>I441</f>
        <v>734.6</v>
      </c>
      <c r="J440" s="56">
        <f t="shared" si="80"/>
        <v>53.89999999999998</v>
      </c>
      <c r="K440" s="58">
        <f>K441</f>
        <v>734.6</v>
      </c>
      <c r="L440" s="58">
        <f t="shared" si="81"/>
        <v>759.8</v>
      </c>
      <c r="M440" s="217">
        <f t="shared" si="81"/>
        <v>808.9</v>
      </c>
      <c r="N440" s="217">
        <f t="shared" si="81"/>
        <v>808.9</v>
      </c>
      <c r="O440" s="262">
        <f t="shared" si="72"/>
        <v>100</v>
      </c>
      <c r="P440" s="146"/>
    </row>
    <row r="441" spans="1:16" ht="25.5">
      <c r="A441" s="6" t="s">
        <v>97</v>
      </c>
      <c r="B441" s="12" t="s">
        <v>164</v>
      </c>
      <c r="C441" s="11" t="s">
        <v>148</v>
      </c>
      <c r="D441" s="11" t="s">
        <v>188</v>
      </c>
      <c r="E441" s="12" t="s">
        <v>238</v>
      </c>
      <c r="F441" s="13" t="s">
        <v>323</v>
      </c>
      <c r="G441" s="34"/>
      <c r="H441" s="58">
        <f>H442</f>
        <v>680.7</v>
      </c>
      <c r="I441" s="58">
        <f>I442</f>
        <v>734.6</v>
      </c>
      <c r="J441" s="56">
        <f t="shared" si="80"/>
        <v>53.89999999999998</v>
      </c>
      <c r="K441" s="58">
        <f>K442</f>
        <v>734.6</v>
      </c>
      <c r="L441" s="58">
        <f t="shared" si="81"/>
        <v>759.8</v>
      </c>
      <c r="M441" s="217">
        <f t="shared" si="81"/>
        <v>808.9</v>
      </c>
      <c r="N441" s="217">
        <f t="shared" si="81"/>
        <v>808.9</v>
      </c>
      <c r="O441" s="262">
        <f t="shared" si="72"/>
        <v>100</v>
      </c>
      <c r="P441" s="146"/>
    </row>
    <row r="442" spans="1:16" ht="14.25">
      <c r="A442" s="6" t="s">
        <v>211</v>
      </c>
      <c r="B442" s="12" t="s">
        <v>164</v>
      </c>
      <c r="C442" s="11" t="s">
        <v>148</v>
      </c>
      <c r="D442" s="11" t="s">
        <v>188</v>
      </c>
      <c r="E442" s="12" t="s">
        <v>238</v>
      </c>
      <c r="F442" s="13" t="s">
        <v>323</v>
      </c>
      <c r="G442" s="157">
        <v>2</v>
      </c>
      <c r="H442" s="58">
        <f>'проект бюджета 2013'!H253</f>
        <v>680.7</v>
      </c>
      <c r="I442" s="58">
        <f>'проект бюджета 2013'!I253</f>
        <v>734.6</v>
      </c>
      <c r="J442" s="56">
        <f t="shared" si="80"/>
        <v>53.89999999999998</v>
      </c>
      <c r="K442" s="58">
        <f>'проект бюджета 2013'!K253</f>
        <v>734.6</v>
      </c>
      <c r="L442" s="58">
        <f>'проект бюджета 2013'!M253</f>
        <v>759.8</v>
      </c>
      <c r="M442" s="217">
        <f>'проект бюджета 2013'!N253</f>
        <v>808.9</v>
      </c>
      <c r="N442" s="217">
        <f>'проект бюджета 2013'!O253</f>
        <v>808.9</v>
      </c>
      <c r="O442" s="262">
        <f t="shared" si="72"/>
        <v>100</v>
      </c>
      <c r="P442" s="146"/>
    </row>
    <row r="443" spans="1:16" ht="15.75">
      <c r="A443" s="82" t="s">
        <v>30</v>
      </c>
      <c r="B443" s="4"/>
      <c r="C443" s="11" t="s">
        <v>176</v>
      </c>
      <c r="D443" s="11"/>
      <c r="E443" s="11">
        <v>0</v>
      </c>
      <c r="F443" s="11"/>
      <c r="G443" s="11"/>
      <c r="H443" s="55">
        <f aca="true" t="shared" si="82" ref="H443:O445">H444</f>
        <v>11861.353</v>
      </c>
      <c r="I443" s="55">
        <f t="shared" si="82"/>
        <v>200</v>
      </c>
      <c r="J443" s="56">
        <f t="shared" si="80"/>
        <v>-11661.353</v>
      </c>
      <c r="K443" s="55">
        <f t="shared" si="82"/>
        <v>200</v>
      </c>
      <c r="L443" s="55">
        <f t="shared" si="82"/>
        <v>200</v>
      </c>
      <c r="M443" s="207">
        <f t="shared" si="82"/>
        <v>200</v>
      </c>
      <c r="N443" s="207">
        <f t="shared" si="82"/>
        <v>200</v>
      </c>
      <c r="O443" s="262">
        <f t="shared" si="72"/>
        <v>100</v>
      </c>
      <c r="P443" s="146"/>
    </row>
    <row r="444" spans="1:16" ht="14.25">
      <c r="A444" s="4" t="s">
        <v>256</v>
      </c>
      <c r="B444" s="5"/>
      <c r="C444" s="11" t="s">
        <v>176</v>
      </c>
      <c r="D444" s="11" t="s">
        <v>244</v>
      </c>
      <c r="E444" s="12"/>
      <c r="F444" s="12"/>
      <c r="G444" s="12"/>
      <c r="H444" s="55">
        <f t="shared" si="82"/>
        <v>11861.353</v>
      </c>
      <c r="I444" s="55">
        <f t="shared" si="82"/>
        <v>200</v>
      </c>
      <c r="J444" s="56">
        <f t="shared" si="80"/>
        <v>-11661.353</v>
      </c>
      <c r="K444" s="55">
        <f t="shared" si="82"/>
        <v>200</v>
      </c>
      <c r="L444" s="55">
        <f t="shared" si="82"/>
        <v>200</v>
      </c>
      <c r="M444" s="207">
        <f t="shared" si="82"/>
        <v>200</v>
      </c>
      <c r="N444" s="207">
        <f t="shared" si="82"/>
        <v>200</v>
      </c>
      <c r="O444" s="262">
        <f t="shared" si="72"/>
        <v>100</v>
      </c>
      <c r="P444" s="146"/>
    </row>
    <row r="445" spans="1:16" ht="25.5">
      <c r="A445" s="105" t="s">
        <v>345</v>
      </c>
      <c r="B445" s="5"/>
      <c r="C445" s="11" t="s">
        <v>176</v>
      </c>
      <c r="D445" s="11" t="s">
        <v>244</v>
      </c>
      <c r="E445" s="12" t="s">
        <v>52</v>
      </c>
      <c r="F445" s="12"/>
      <c r="G445" s="12"/>
      <c r="H445" s="55">
        <f t="shared" si="82"/>
        <v>11861.353</v>
      </c>
      <c r="I445" s="55">
        <f t="shared" si="82"/>
        <v>200</v>
      </c>
      <c r="J445" s="56">
        <f t="shared" si="80"/>
        <v>-11661.353</v>
      </c>
      <c r="K445" s="55">
        <f t="shared" si="82"/>
        <v>200</v>
      </c>
      <c r="L445" s="55">
        <f t="shared" si="82"/>
        <v>200</v>
      </c>
      <c r="M445" s="207">
        <f t="shared" si="82"/>
        <v>200</v>
      </c>
      <c r="N445" s="207">
        <f t="shared" si="82"/>
        <v>200</v>
      </c>
      <c r="O445" s="262">
        <f t="shared" si="72"/>
        <v>100</v>
      </c>
      <c r="P445" s="146"/>
    </row>
    <row r="446" spans="1:16" ht="25.5">
      <c r="A446" s="6" t="s">
        <v>97</v>
      </c>
      <c r="B446" s="40"/>
      <c r="C446" s="11" t="s">
        <v>176</v>
      </c>
      <c r="D446" s="11" t="s">
        <v>244</v>
      </c>
      <c r="E446" s="27" t="s">
        <v>52</v>
      </c>
      <c r="F446" s="115" t="s">
        <v>323</v>
      </c>
      <c r="G446" s="41"/>
      <c r="H446" s="55">
        <f>'проект бюджета 2013'!H273</f>
        <v>11861.353</v>
      </c>
      <c r="I446" s="55">
        <f>I447</f>
        <v>200</v>
      </c>
      <c r="J446" s="56">
        <f t="shared" si="80"/>
        <v>-11661.353</v>
      </c>
      <c r="K446" s="55">
        <f>K447</f>
        <v>200</v>
      </c>
      <c r="L446" s="55">
        <f>L447</f>
        <v>200</v>
      </c>
      <c r="M446" s="207">
        <f>M447</f>
        <v>200</v>
      </c>
      <c r="N446" s="207">
        <f>N447</f>
        <v>200</v>
      </c>
      <c r="O446" s="262">
        <f t="shared" si="72"/>
        <v>100</v>
      </c>
      <c r="P446" s="146"/>
    </row>
    <row r="447" spans="1:16" ht="14.25">
      <c r="A447" s="6" t="s">
        <v>209</v>
      </c>
      <c r="B447" s="3"/>
      <c r="C447" s="11" t="s">
        <v>176</v>
      </c>
      <c r="D447" s="11" t="s">
        <v>244</v>
      </c>
      <c r="E447" s="27" t="s">
        <v>52</v>
      </c>
      <c r="F447" s="115" t="s">
        <v>323</v>
      </c>
      <c r="G447" s="164" t="s">
        <v>212</v>
      </c>
      <c r="H447" s="72">
        <f>'проект бюджета 2013'!H274</f>
        <v>11861.353</v>
      </c>
      <c r="I447" s="72">
        <f>'проект бюджета 2013'!I258</f>
        <v>200</v>
      </c>
      <c r="J447" s="56">
        <f t="shared" si="80"/>
        <v>-11661.353</v>
      </c>
      <c r="K447" s="72">
        <f>'проект бюджета 2013'!K258</f>
        <v>200</v>
      </c>
      <c r="L447" s="72">
        <f>'проект бюджета 2013'!M258</f>
        <v>200</v>
      </c>
      <c r="M447" s="228">
        <f>'проект бюджета 2013'!N258</f>
        <v>200</v>
      </c>
      <c r="N447" s="228">
        <f>'проект бюджета 2013'!O258</f>
        <v>200</v>
      </c>
      <c r="O447" s="262">
        <f t="shared" si="72"/>
        <v>100</v>
      </c>
      <c r="P447" s="146"/>
    </row>
    <row r="448" spans="1:16" ht="42.75">
      <c r="A448" s="3" t="s">
        <v>257</v>
      </c>
      <c r="B448" s="3"/>
      <c r="C448" s="10" t="s">
        <v>258</v>
      </c>
      <c r="D448" s="10">
        <v>0</v>
      </c>
      <c r="E448" s="10">
        <v>0</v>
      </c>
      <c r="F448" s="10">
        <v>0</v>
      </c>
      <c r="G448" s="10">
        <v>0</v>
      </c>
      <c r="H448" s="55" t="e">
        <f>H449+#REF!+H459</f>
        <v>#REF!</v>
      </c>
      <c r="I448" s="55" t="e">
        <f>I449+#REF!+I459+#REF!+I455</f>
        <v>#REF!</v>
      </c>
      <c r="J448" s="56" t="e">
        <f t="shared" si="80"/>
        <v>#REF!</v>
      </c>
      <c r="K448" s="55" t="e">
        <f>K449+#REF!+K459+#REF!+K455</f>
        <v>#REF!</v>
      </c>
      <c r="L448" s="55" t="e">
        <f>L449+#REF!+L459+#REF!+L455</f>
        <v>#REF!</v>
      </c>
      <c r="M448" s="207">
        <f>M449+M459+M455</f>
        <v>9985.99</v>
      </c>
      <c r="N448" s="207">
        <f>N449+N459+N455</f>
        <v>9985.99</v>
      </c>
      <c r="O448" s="262">
        <f t="shared" si="72"/>
        <v>100</v>
      </c>
      <c r="P448" s="146"/>
    </row>
    <row r="449" spans="1:16" ht="42.75">
      <c r="A449" s="4" t="s">
        <v>259</v>
      </c>
      <c r="B449" s="4"/>
      <c r="C449" s="11" t="s">
        <v>258</v>
      </c>
      <c r="D449" s="11" t="s">
        <v>260</v>
      </c>
      <c r="E449" s="11">
        <v>0</v>
      </c>
      <c r="F449" s="11"/>
      <c r="G449" s="11"/>
      <c r="H449" s="55" t="e">
        <f>H450+H456</f>
        <v>#REF!</v>
      </c>
      <c r="I449" s="55" t="e">
        <f>I450</f>
        <v>#REF!</v>
      </c>
      <c r="J449" s="56" t="e">
        <f t="shared" si="80"/>
        <v>#REF!</v>
      </c>
      <c r="K449" s="55" t="e">
        <f>K450</f>
        <v>#REF!</v>
      </c>
      <c r="L449" s="55" t="e">
        <f>L450</f>
        <v>#REF!</v>
      </c>
      <c r="M449" s="207">
        <f>M450</f>
        <v>8817.1</v>
      </c>
      <c r="N449" s="207">
        <f>N450</f>
        <v>8817.1</v>
      </c>
      <c r="O449" s="262">
        <f t="shared" si="72"/>
        <v>100</v>
      </c>
      <c r="P449" s="146"/>
    </row>
    <row r="450" spans="1:16" ht="14.25">
      <c r="A450" s="5" t="s">
        <v>131</v>
      </c>
      <c r="B450" s="5"/>
      <c r="C450" s="11" t="s">
        <v>258</v>
      </c>
      <c r="D450" s="11" t="s">
        <v>260</v>
      </c>
      <c r="E450" s="12" t="s">
        <v>128</v>
      </c>
      <c r="F450" s="12"/>
      <c r="G450" s="12"/>
      <c r="H450" s="55" t="e">
        <f aca="true" t="shared" si="83" ref="H450:O452">H451</f>
        <v>#REF!</v>
      </c>
      <c r="I450" s="55" t="e">
        <f t="shared" si="83"/>
        <v>#REF!</v>
      </c>
      <c r="J450" s="56" t="e">
        <f t="shared" si="80"/>
        <v>#REF!</v>
      </c>
      <c r="K450" s="55" t="e">
        <f t="shared" si="83"/>
        <v>#REF!</v>
      </c>
      <c r="L450" s="55" t="e">
        <f t="shared" si="83"/>
        <v>#REF!</v>
      </c>
      <c r="M450" s="207">
        <f t="shared" si="83"/>
        <v>8817.1</v>
      </c>
      <c r="N450" s="207">
        <f t="shared" si="83"/>
        <v>8817.1</v>
      </c>
      <c r="O450" s="262">
        <f t="shared" si="72"/>
        <v>100</v>
      </c>
      <c r="P450" s="146"/>
    </row>
    <row r="451" spans="1:16" ht="14.25">
      <c r="A451" s="5" t="s">
        <v>131</v>
      </c>
      <c r="B451" s="5"/>
      <c r="C451" s="11" t="s">
        <v>258</v>
      </c>
      <c r="D451" s="11" t="s">
        <v>260</v>
      </c>
      <c r="E451" s="12" t="s">
        <v>129</v>
      </c>
      <c r="F451" s="12"/>
      <c r="G451" s="12"/>
      <c r="H451" s="55" t="e">
        <f t="shared" si="83"/>
        <v>#REF!</v>
      </c>
      <c r="I451" s="55" t="e">
        <f t="shared" si="83"/>
        <v>#REF!</v>
      </c>
      <c r="J451" s="56" t="e">
        <f t="shared" si="80"/>
        <v>#REF!</v>
      </c>
      <c r="K451" s="55" t="e">
        <f t="shared" si="83"/>
        <v>#REF!</v>
      </c>
      <c r="L451" s="55" t="e">
        <f t="shared" si="83"/>
        <v>#REF!</v>
      </c>
      <c r="M451" s="207">
        <f t="shared" si="83"/>
        <v>8817.1</v>
      </c>
      <c r="N451" s="207">
        <f t="shared" si="83"/>
        <v>8817.1</v>
      </c>
      <c r="O451" s="262">
        <f t="shared" si="72"/>
        <v>100</v>
      </c>
      <c r="P451" s="146"/>
    </row>
    <row r="452" spans="1:16" ht="25.5">
      <c r="A452" s="5" t="s">
        <v>132</v>
      </c>
      <c r="B452" s="5"/>
      <c r="C452" s="11" t="s">
        <v>258</v>
      </c>
      <c r="D452" s="11" t="s">
        <v>260</v>
      </c>
      <c r="E452" s="12" t="s">
        <v>130</v>
      </c>
      <c r="F452" s="12"/>
      <c r="G452" s="12"/>
      <c r="H452" s="55" t="e">
        <f t="shared" si="83"/>
        <v>#REF!</v>
      </c>
      <c r="I452" s="55" t="e">
        <f t="shared" si="83"/>
        <v>#REF!</v>
      </c>
      <c r="J452" s="56" t="e">
        <f t="shared" si="80"/>
        <v>#REF!</v>
      </c>
      <c r="K452" s="55" t="e">
        <f t="shared" si="83"/>
        <v>#REF!</v>
      </c>
      <c r="L452" s="55" t="e">
        <f t="shared" si="83"/>
        <v>#REF!</v>
      </c>
      <c r="M452" s="207">
        <f t="shared" si="83"/>
        <v>8817.1</v>
      </c>
      <c r="N452" s="207">
        <f t="shared" si="83"/>
        <v>8817.1</v>
      </c>
      <c r="O452" s="262">
        <f t="shared" si="72"/>
        <v>100</v>
      </c>
      <c r="P452" s="146"/>
    </row>
    <row r="453" spans="1:16" ht="25.5">
      <c r="A453" s="116" t="s">
        <v>363</v>
      </c>
      <c r="B453" s="6"/>
      <c r="C453" s="11" t="s">
        <v>258</v>
      </c>
      <c r="D453" s="11" t="s">
        <v>260</v>
      </c>
      <c r="E453" s="12" t="s">
        <v>130</v>
      </c>
      <c r="F453" s="13" t="s">
        <v>312</v>
      </c>
      <c r="G453" s="13"/>
      <c r="H453" s="55" t="e">
        <f>H454+#REF!</f>
        <v>#REF!</v>
      </c>
      <c r="I453" s="55" t="e">
        <f>I454+#REF!</f>
        <v>#REF!</v>
      </c>
      <c r="J453" s="56" t="e">
        <f t="shared" si="80"/>
        <v>#REF!</v>
      </c>
      <c r="K453" s="55" t="e">
        <f>K454+#REF!</f>
        <v>#REF!</v>
      </c>
      <c r="L453" s="55" t="e">
        <f>L454+#REF!</f>
        <v>#REF!</v>
      </c>
      <c r="M453" s="207">
        <f>M454</f>
        <v>8817.1</v>
      </c>
      <c r="N453" s="207">
        <f>N454</f>
        <v>8817.1</v>
      </c>
      <c r="O453" s="262">
        <f t="shared" si="72"/>
        <v>100</v>
      </c>
      <c r="P453" s="146"/>
    </row>
    <row r="454" spans="1:16" ht="14.25">
      <c r="A454" s="6" t="s">
        <v>211</v>
      </c>
      <c r="B454" s="6"/>
      <c r="C454" s="11" t="s">
        <v>258</v>
      </c>
      <c r="D454" s="11" t="s">
        <v>260</v>
      </c>
      <c r="E454" s="12" t="s">
        <v>130</v>
      </c>
      <c r="F454" s="13" t="s">
        <v>312</v>
      </c>
      <c r="G454" s="167" t="s">
        <v>214</v>
      </c>
      <c r="H454" s="55">
        <f>'проект бюджета 2013'!H284</f>
        <v>8404</v>
      </c>
      <c r="I454" s="55">
        <f>'проект бюджета 2013'!I284</f>
        <v>8816.4</v>
      </c>
      <c r="J454" s="56">
        <f t="shared" si="80"/>
        <v>412.39999999999964</v>
      </c>
      <c r="K454" s="55">
        <f>'проект бюджета 2013'!K284</f>
        <v>8816.4</v>
      </c>
      <c r="L454" s="55">
        <f>'проект бюджета 2013'!M284</f>
        <v>8455</v>
      </c>
      <c r="M454" s="207">
        <f>'проект бюджета 2013'!N284</f>
        <v>8817.1</v>
      </c>
      <c r="N454" s="207">
        <f>'проект бюджета 2013'!O284</f>
        <v>8817.1</v>
      </c>
      <c r="O454" s="262">
        <f t="shared" si="72"/>
        <v>100</v>
      </c>
      <c r="P454" s="146"/>
    </row>
    <row r="455" spans="1:16" ht="14.25">
      <c r="A455" s="5" t="s">
        <v>261</v>
      </c>
      <c r="B455" s="3"/>
      <c r="C455" s="11" t="s">
        <v>258</v>
      </c>
      <c r="D455" s="11" t="s">
        <v>262</v>
      </c>
      <c r="E455" s="12"/>
      <c r="F455" s="13"/>
      <c r="G455" s="13"/>
      <c r="H455" s="55"/>
      <c r="I455" s="55">
        <f>I456</f>
        <v>1500</v>
      </c>
      <c r="J455" s="56"/>
      <c r="K455" s="55">
        <f aca="true" t="shared" si="84" ref="K455:O457">K456</f>
        <v>1500</v>
      </c>
      <c r="L455" s="55">
        <f t="shared" si="84"/>
        <v>600</v>
      </c>
      <c r="M455" s="207">
        <f t="shared" si="84"/>
        <v>310</v>
      </c>
      <c r="N455" s="207">
        <f t="shared" si="84"/>
        <v>310</v>
      </c>
      <c r="O455" s="262">
        <f t="shared" si="72"/>
        <v>100</v>
      </c>
      <c r="P455" s="146"/>
    </row>
    <row r="456" spans="1:16" ht="25.5">
      <c r="A456" s="5" t="s">
        <v>230</v>
      </c>
      <c r="B456" s="5"/>
      <c r="C456" s="11" t="s">
        <v>258</v>
      </c>
      <c r="D456" s="11" t="s">
        <v>262</v>
      </c>
      <c r="E456" s="12" t="s">
        <v>229</v>
      </c>
      <c r="F456" s="13"/>
      <c r="G456" s="13"/>
      <c r="H456" s="55">
        <f>H457</f>
        <v>1300</v>
      </c>
      <c r="I456" s="55">
        <f>I457</f>
        <v>1500</v>
      </c>
      <c r="J456" s="56">
        <f>I456-H456</f>
        <v>200</v>
      </c>
      <c r="K456" s="55">
        <f t="shared" si="84"/>
        <v>1500</v>
      </c>
      <c r="L456" s="55">
        <f t="shared" si="84"/>
        <v>600</v>
      </c>
      <c r="M456" s="207">
        <f t="shared" si="84"/>
        <v>310</v>
      </c>
      <c r="N456" s="207">
        <f t="shared" si="84"/>
        <v>310</v>
      </c>
      <c r="O456" s="262">
        <f t="shared" si="72"/>
        <v>100</v>
      </c>
      <c r="P456" s="146"/>
    </row>
    <row r="457" spans="1:16" ht="38.25">
      <c r="A457" s="6" t="s">
        <v>314</v>
      </c>
      <c r="B457" s="5"/>
      <c r="C457" s="11" t="s">
        <v>258</v>
      </c>
      <c r="D457" s="11" t="s">
        <v>262</v>
      </c>
      <c r="E457" s="12" t="s">
        <v>229</v>
      </c>
      <c r="F457" s="13" t="s">
        <v>313</v>
      </c>
      <c r="G457" s="13"/>
      <c r="H457" s="55">
        <f>H458</f>
        <v>1300</v>
      </c>
      <c r="I457" s="55">
        <f>I458</f>
        <v>1500</v>
      </c>
      <c r="J457" s="56">
        <f>I457-H457</f>
        <v>200</v>
      </c>
      <c r="K457" s="55">
        <f t="shared" si="84"/>
        <v>1500</v>
      </c>
      <c r="L457" s="55">
        <f t="shared" si="84"/>
        <v>600</v>
      </c>
      <c r="M457" s="207">
        <f t="shared" si="84"/>
        <v>310</v>
      </c>
      <c r="N457" s="207">
        <f t="shared" si="84"/>
        <v>310</v>
      </c>
      <c r="O457" s="262">
        <f t="shared" si="72"/>
        <v>100</v>
      </c>
      <c r="P457" s="146"/>
    </row>
    <row r="458" spans="1:16" ht="14.25">
      <c r="A458" s="6" t="s">
        <v>209</v>
      </c>
      <c r="B458" s="5"/>
      <c r="C458" s="11" t="s">
        <v>258</v>
      </c>
      <c r="D458" s="11" t="s">
        <v>262</v>
      </c>
      <c r="E458" s="12" t="s">
        <v>229</v>
      </c>
      <c r="F458" s="13" t="s">
        <v>313</v>
      </c>
      <c r="G458" s="156" t="s">
        <v>212</v>
      </c>
      <c r="H458" s="55">
        <f>'проект бюджета 2013'!H288</f>
        <v>1300</v>
      </c>
      <c r="I458" s="55">
        <f>'проект бюджета 2013'!I288</f>
        <v>1500</v>
      </c>
      <c r="J458" s="56">
        <f>I458-H458</f>
        <v>200</v>
      </c>
      <c r="K458" s="55">
        <f>'проект бюджета 2013'!K288</f>
        <v>1500</v>
      </c>
      <c r="L458" s="55">
        <f>'проект бюджета 2013'!M288</f>
        <v>600</v>
      </c>
      <c r="M458" s="207">
        <f>'проект бюджета 2013'!N288</f>
        <v>310</v>
      </c>
      <c r="N458" s="207">
        <f>'проект бюджета 2013'!O288</f>
        <v>310</v>
      </c>
      <c r="O458" s="262">
        <f t="shared" si="72"/>
        <v>100</v>
      </c>
      <c r="P458" s="146"/>
    </row>
    <row r="459" spans="1:16" ht="28.5" customHeight="1">
      <c r="A459" s="36" t="s">
        <v>276</v>
      </c>
      <c r="B459" s="45" t="s">
        <v>165</v>
      </c>
      <c r="C459" s="45" t="s">
        <v>258</v>
      </c>
      <c r="D459" s="45" t="s">
        <v>274</v>
      </c>
      <c r="E459" s="11">
        <v>0</v>
      </c>
      <c r="F459" s="11"/>
      <c r="G459" s="34"/>
      <c r="H459" s="55">
        <f>H467+H470</f>
        <v>288</v>
      </c>
      <c r="I459" s="55">
        <f>I467+I470</f>
        <v>0</v>
      </c>
      <c r="J459" s="56">
        <f>I459-H459</f>
        <v>-288</v>
      </c>
      <c r="K459" s="55">
        <f>K467+K470</f>
        <v>0</v>
      </c>
      <c r="L459" s="55">
        <f>L467+L470+L460+L473+L463</f>
        <v>0</v>
      </c>
      <c r="M459" s="207">
        <f>M470+M460+M473+M463</f>
        <v>858.89</v>
      </c>
      <c r="N459" s="207">
        <f>N470+N460+N473+N463</f>
        <v>858.89</v>
      </c>
      <c r="O459" s="262">
        <f t="shared" si="72"/>
        <v>100</v>
      </c>
      <c r="P459" s="146"/>
    </row>
    <row r="460" spans="1:16" ht="25.5" customHeight="1">
      <c r="A460" s="105" t="s">
        <v>375</v>
      </c>
      <c r="B460" s="11"/>
      <c r="C460" s="11" t="s">
        <v>258</v>
      </c>
      <c r="D460" s="11" t="s">
        <v>274</v>
      </c>
      <c r="E460" s="37" t="s">
        <v>161</v>
      </c>
      <c r="F460" s="12"/>
      <c r="G460" s="34"/>
      <c r="H460" s="55"/>
      <c r="I460" s="55"/>
      <c r="J460" s="56"/>
      <c r="K460" s="55"/>
      <c r="L460" s="55">
        <f aca="true" t="shared" si="85" ref="L460:O461">L461</f>
        <v>0</v>
      </c>
      <c r="M460" s="207">
        <f t="shared" si="85"/>
        <v>365</v>
      </c>
      <c r="N460" s="207">
        <f t="shared" si="85"/>
        <v>365</v>
      </c>
      <c r="O460" s="262">
        <f t="shared" si="72"/>
        <v>100</v>
      </c>
      <c r="P460" s="146"/>
    </row>
    <row r="461" spans="1:16" ht="15.75" customHeight="1">
      <c r="A461" s="105" t="s">
        <v>195</v>
      </c>
      <c r="B461" s="11"/>
      <c r="C461" s="11" t="s">
        <v>258</v>
      </c>
      <c r="D461" s="11" t="s">
        <v>274</v>
      </c>
      <c r="E461" s="37" t="s">
        <v>161</v>
      </c>
      <c r="F461" s="37" t="s">
        <v>376</v>
      </c>
      <c r="G461" s="34"/>
      <c r="H461" s="55"/>
      <c r="I461" s="55"/>
      <c r="J461" s="56"/>
      <c r="K461" s="55"/>
      <c r="L461" s="55">
        <f t="shared" si="85"/>
        <v>0</v>
      </c>
      <c r="M461" s="207">
        <f t="shared" si="85"/>
        <v>365</v>
      </c>
      <c r="N461" s="207">
        <f t="shared" si="85"/>
        <v>365</v>
      </c>
      <c r="O461" s="262">
        <f t="shared" si="72"/>
        <v>100</v>
      </c>
      <c r="P461" s="146"/>
    </row>
    <row r="462" spans="1:16" ht="16.5" customHeight="1">
      <c r="A462" s="6" t="s">
        <v>211</v>
      </c>
      <c r="B462" s="11"/>
      <c r="C462" s="11" t="s">
        <v>258</v>
      </c>
      <c r="D462" s="11" t="s">
        <v>274</v>
      </c>
      <c r="E462" s="37" t="s">
        <v>161</v>
      </c>
      <c r="F462" s="37" t="s">
        <v>376</v>
      </c>
      <c r="G462" s="157">
        <v>2</v>
      </c>
      <c r="H462" s="55"/>
      <c r="I462" s="55"/>
      <c r="J462" s="56"/>
      <c r="K462" s="55"/>
      <c r="L462" s="55">
        <f>'проект бюджета 2013'!M292</f>
        <v>0</v>
      </c>
      <c r="M462" s="207">
        <f>'проект бюджета 2013'!N292</f>
        <v>365</v>
      </c>
      <c r="N462" s="207">
        <f>'проект бюджета 2013'!O292</f>
        <v>365</v>
      </c>
      <c r="O462" s="262">
        <f t="shared" si="72"/>
        <v>100</v>
      </c>
      <c r="P462" s="146"/>
    </row>
    <row r="463" spans="1:16" ht="16.5" customHeight="1">
      <c r="A463" s="121" t="s">
        <v>101</v>
      </c>
      <c r="B463" s="11"/>
      <c r="C463" s="11" t="s">
        <v>258</v>
      </c>
      <c r="D463" s="11" t="s">
        <v>274</v>
      </c>
      <c r="E463" s="37" t="s">
        <v>102</v>
      </c>
      <c r="F463" s="37"/>
      <c r="G463" s="34"/>
      <c r="H463" s="55"/>
      <c r="I463" s="55"/>
      <c r="J463" s="56"/>
      <c r="K463" s="55"/>
      <c r="L463" s="55">
        <f>L464</f>
        <v>0</v>
      </c>
      <c r="M463" s="207">
        <f>M464+M467</f>
        <v>90</v>
      </c>
      <c r="N463" s="207">
        <f>N464+N467</f>
        <v>90</v>
      </c>
      <c r="O463" s="262">
        <f t="shared" si="72"/>
        <v>100</v>
      </c>
      <c r="P463" s="146"/>
    </row>
    <row r="464" spans="1:16" ht="39.75" customHeight="1">
      <c r="A464" s="105" t="s">
        <v>387</v>
      </c>
      <c r="B464" s="11"/>
      <c r="C464" s="11" t="s">
        <v>258</v>
      </c>
      <c r="D464" s="11" t="s">
        <v>274</v>
      </c>
      <c r="E464" s="37" t="s">
        <v>386</v>
      </c>
      <c r="F464" s="37"/>
      <c r="G464" s="34"/>
      <c r="H464" s="55"/>
      <c r="I464" s="55"/>
      <c r="J464" s="56"/>
      <c r="K464" s="55"/>
      <c r="L464" s="55">
        <f>L465</f>
        <v>0</v>
      </c>
      <c r="M464" s="207">
        <f aca="true" t="shared" si="86" ref="M464:O465">M465</f>
        <v>80</v>
      </c>
      <c r="N464" s="207">
        <f t="shared" si="86"/>
        <v>80</v>
      </c>
      <c r="O464" s="262">
        <f t="shared" si="72"/>
        <v>100</v>
      </c>
      <c r="P464" s="146"/>
    </row>
    <row r="465" spans="1:16" ht="16.5" customHeight="1">
      <c r="A465" s="105" t="s">
        <v>195</v>
      </c>
      <c r="B465" s="11"/>
      <c r="C465" s="11" t="s">
        <v>258</v>
      </c>
      <c r="D465" s="11" t="s">
        <v>274</v>
      </c>
      <c r="E465" s="37" t="s">
        <v>386</v>
      </c>
      <c r="F465" s="37" t="s">
        <v>376</v>
      </c>
      <c r="G465" s="34"/>
      <c r="H465" s="55"/>
      <c r="I465" s="55"/>
      <c r="J465" s="56"/>
      <c r="K465" s="55"/>
      <c r="L465" s="55">
        <f>L466</f>
        <v>0</v>
      </c>
      <c r="M465" s="207">
        <f t="shared" si="86"/>
        <v>80</v>
      </c>
      <c r="N465" s="207">
        <f t="shared" si="86"/>
        <v>80</v>
      </c>
      <c r="O465" s="262">
        <f aca="true" t="shared" si="87" ref="O465:O477">N465/M465*100</f>
        <v>100</v>
      </c>
      <c r="P465" s="146"/>
    </row>
    <row r="466" spans="1:16" ht="16.5" customHeight="1">
      <c r="A466" s="6" t="s">
        <v>211</v>
      </c>
      <c r="B466" s="11"/>
      <c r="C466" s="11" t="s">
        <v>258</v>
      </c>
      <c r="D466" s="11" t="s">
        <v>274</v>
      </c>
      <c r="E466" s="37" t="s">
        <v>386</v>
      </c>
      <c r="F466" s="37" t="s">
        <v>376</v>
      </c>
      <c r="G466" s="157">
        <v>2</v>
      </c>
      <c r="H466" s="55"/>
      <c r="I466" s="55"/>
      <c r="J466" s="56"/>
      <c r="K466" s="55"/>
      <c r="L466" s="55">
        <f>'проект бюджета 2013'!M296</f>
        <v>0</v>
      </c>
      <c r="M466" s="207">
        <f>'проект бюджета 2013'!N296</f>
        <v>80</v>
      </c>
      <c r="N466" s="207">
        <f>'проект бюджета 2013'!O296</f>
        <v>80</v>
      </c>
      <c r="O466" s="262">
        <f t="shared" si="87"/>
        <v>100</v>
      </c>
      <c r="P466" s="146"/>
    </row>
    <row r="467" spans="1:16" ht="15" customHeight="1">
      <c r="A467" s="5" t="s">
        <v>104</v>
      </c>
      <c r="B467" s="12" t="s">
        <v>165</v>
      </c>
      <c r="C467" s="11" t="s">
        <v>258</v>
      </c>
      <c r="D467" s="11" t="s">
        <v>274</v>
      </c>
      <c r="E467" s="12" t="s">
        <v>103</v>
      </c>
      <c r="F467" s="12"/>
      <c r="G467" s="34"/>
      <c r="H467" s="55">
        <f>H469</f>
        <v>0</v>
      </c>
      <c r="I467" s="55">
        <f>I469</f>
        <v>0</v>
      </c>
      <c r="J467" s="56">
        <f aca="true" t="shared" si="88" ref="J467:J477">I467-H467</f>
        <v>0</v>
      </c>
      <c r="K467" s="55">
        <f>K469</f>
        <v>0</v>
      </c>
      <c r="L467" s="55">
        <f>L469</f>
        <v>0</v>
      </c>
      <c r="M467" s="207">
        <f>M469</f>
        <v>10</v>
      </c>
      <c r="N467" s="207">
        <f>N469</f>
        <v>10</v>
      </c>
      <c r="O467" s="262">
        <f t="shared" si="87"/>
        <v>100</v>
      </c>
      <c r="P467" s="146"/>
    </row>
    <row r="468" spans="1:16" ht="15" customHeight="1">
      <c r="A468" s="105" t="s">
        <v>195</v>
      </c>
      <c r="B468" s="12" t="s">
        <v>165</v>
      </c>
      <c r="C468" s="11" t="s">
        <v>258</v>
      </c>
      <c r="D468" s="11" t="s">
        <v>274</v>
      </c>
      <c r="E468" s="12" t="s">
        <v>103</v>
      </c>
      <c r="F468" s="37" t="s">
        <v>376</v>
      </c>
      <c r="G468" s="34"/>
      <c r="H468" s="55">
        <f>H469</f>
        <v>0</v>
      </c>
      <c r="I468" s="55">
        <f>I469</f>
        <v>0</v>
      </c>
      <c r="J468" s="56">
        <f t="shared" si="88"/>
        <v>0</v>
      </c>
      <c r="K468" s="55">
        <f>K469</f>
        <v>0</v>
      </c>
      <c r="L468" s="55">
        <f>L469</f>
        <v>0</v>
      </c>
      <c r="M468" s="207">
        <f>M469</f>
        <v>10</v>
      </c>
      <c r="N468" s="207">
        <f>N469</f>
        <v>10</v>
      </c>
      <c r="O468" s="262">
        <f t="shared" si="87"/>
        <v>100</v>
      </c>
      <c r="P468" s="146"/>
    </row>
    <row r="469" spans="1:16" ht="15" customHeight="1">
      <c r="A469" s="6" t="s">
        <v>209</v>
      </c>
      <c r="B469" s="12" t="s">
        <v>165</v>
      </c>
      <c r="C469" s="11" t="s">
        <v>258</v>
      </c>
      <c r="D469" s="11" t="s">
        <v>274</v>
      </c>
      <c r="E469" s="12" t="s">
        <v>103</v>
      </c>
      <c r="F469" s="37" t="s">
        <v>376</v>
      </c>
      <c r="G469" s="157">
        <v>3</v>
      </c>
      <c r="H469" s="55">
        <f>'проект бюджета 2013'!H299</f>
        <v>0</v>
      </c>
      <c r="I469" s="55">
        <f>'проект бюджета 2013'!I299</f>
        <v>0</v>
      </c>
      <c r="J469" s="56">
        <f t="shared" si="88"/>
        <v>0</v>
      </c>
      <c r="K469" s="55">
        <f>'проект бюджета 2013'!K299</f>
        <v>0</v>
      </c>
      <c r="L469" s="55">
        <f>'проект бюджета 2013'!M299</f>
        <v>0</v>
      </c>
      <c r="M469" s="207">
        <f>'проект бюджета 2013'!N299</f>
        <v>10</v>
      </c>
      <c r="N469" s="207">
        <f>'проект бюджета 2013'!O299</f>
        <v>10</v>
      </c>
      <c r="O469" s="262">
        <f t="shared" si="87"/>
        <v>100</v>
      </c>
      <c r="P469" s="146"/>
    </row>
    <row r="470" spans="1:16" ht="29.25" customHeight="1">
      <c r="A470" s="5" t="s">
        <v>275</v>
      </c>
      <c r="B470" s="12" t="s">
        <v>165</v>
      </c>
      <c r="C470" s="11" t="s">
        <v>258</v>
      </c>
      <c r="D470" s="11" t="s">
        <v>274</v>
      </c>
      <c r="E470" s="12" t="s">
        <v>241</v>
      </c>
      <c r="F470" s="12"/>
      <c r="G470" s="34"/>
      <c r="H470" s="55">
        <f>H472</f>
        <v>288</v>
      </c>
      <c r="I470" s="55">
        <f>I472</f>
        <v>0</v>
      </c>
      <c r="J470" s="56">
        <f t="shared" si="88"/>
        <v>-288</v>
      </c>
      <c r="K470" s="55">
        <f>K472</f>
        <v>0</v>
      </c>
      <c r="L470" s="55">
        <f>L472</f>
        <v>0</v>
      </c>
      <c r="M470" s="207">
        <f>M472</f>
        <v>358.89</v>
      </c>
      <c r="N470" s="207">
        <f>N472</f>
        <v>358.89</v>
      </c>
      <c r="O470" s="262">
        <f t="shared" si="87"/>
        <v>100</v>
      </c>
      <c r="P470" s="146"/>
    </row>
    <row r="471" spans="1:16" ht="17.25" customHeight="1">
      <c r="A471" s="105" t="s">
        <v>195</v>
      </c>
      <c r="B471" s="12" t="s">
        <v>165</v>
      </c>
      <c r="C471" s="11" t="s">
        <v>258</v>
      </c>
      <c r="D471" s="11" t="s">
        <v>274</v>
      </c>
      <c r="E471" s="12" t="s">
        <v>241</v>
      </c>
      <c r="F471" s="37" t="s">
        <v>376</v>
      </c>
      <c r="G471" s="34"/>
      <c r="H471" s="55">
        <f>H472</f>
        <v>288</v>
      </c>
      <c r="I471" s="55">
        <f>I472</f>
        <v>0</v>
      </c>
      <c r="J471" s="56">
        <f t="shared" si="88"/>
        <v>-288</v>
      </c>
      <c r="K471" s="55">
        <f>K472</f>
        <v>0</v>
      </c>
      <c r="L471" s="55">
        <f>L472</f>
        <v>0</v>
      </c>
      <c r="M471" s="207">
        <f>M472</f>
        <v>358.89</v>
      </c>
      <c r="N471" s="207">
        <f>N472</f>
        <v>358.89</v>
      </c>
      <c r="O471" s="262">
        <f t="shared" si="87"/>
        <v>100</v>
      </c>
      <c r="P471" s="146"/>
    </row>
    <row r="472" spans="1:16" ht="15" customHeight="1">
      <c r="A472" s="6" t="s">
        <v>209</v>
      </c>
      <c r="B472" s="12" t="s">
        <v>165</v>
      </c>
      <c r="C472" s="11" t="s">
        <v>258</v>
      </c>
      <c r="D472" s="11" t="s">
        <v>274</v>
      </c>
      <c r="E472" s="12" t="s">
        <v>241</v>
      </c>
      <c r="F472" s="37" t="s">
        <v>376</v>
      </c>
      <c r="G472" s="157">
        <v>3</v>
      </c>
      <c r="H472" s="55">
        <f>'проект бюджета 2013'!H302</f>
        <v>288</v>
      </c>
      <c r="I472" s="55">
        <f>'проект бюджета 2013'!I302</f>
        <v>0</v>
      </c>
      <c r="J472" s="56">
        <f t="shared" si="88"/>
        <v>-288</v>
      </c>
      <c r="K472" s="55">
        <f>'проект бюджета 2013'!K302</f>
        <v>0</v>
      </c>
      <c r="L472" s="55">
        <f>'проект бюджета 2013'!M302</f>
        <v>0</v>
      </c>
      <c r="M472" s="207">
        <f>'проект бюджета 2013'!N302</f>
        <v>358.89</v>
      </c>
      <c r="N472" s="207">
        <f>'проект бюджета 2013'!O302</f>
        <v>358.89</v>
      </c>
      <c r="O472" s="262">
        <f t="shared" si="87"/>
        <v>100</v>
      </c>
      <c r="P472" s="146"/>
    </row>
    <row r="473" spans="1:16" ht="15" customHeight="1">
      <c r="A473" s="109" t="s">
        <v>380</v>
      </c>
      <c r="B473" s="12"/>
      <c r="C473" s="11" t="s">
        <v>258</v>
      </c>
      <c r="D473" s="11" t="s">
        <v>274</v>
      </c>
      <c r="E473" s="37" t="s">
        <v>383</v>
      </c>
      <c r="F473" s="37"/>
      <c r="G473" s="34"/>
      <c r="H473" s="55"/>
      <c r="I473" s="55"/>
      <c r="J473" s="56"/>
      <c r="K473" s="55"/>
      <c r="L473" s="55">
        <f>L474</f>
        <v>0</v>
      </c>
      <c r="M473" s="207">
        <f aca="true" t="shared" si="89" ref="M473:O475">M474</f>
        <v>45</v>
      </c>
      <c r="N473" s="207">
        <f t="shared" si="89"/>
        <v>45</v>
      </c>
      <c r="O473" s="262">
        <f t="shared" si="87"/>
        <v>100</v>
      </c>
      <c r="P473" s="146"/>
    </row>
    <row r="474" spans="1:16" ht="64.5" customHeight="1">
      <c r="A474" s="118" t="s">
        <v>381</v>
      </c>
      <c r="B474" s="12"/>
      <c r="C474" s="11" t="s">
        <v>258</v>
      </c>
      <c r="D474" s="11" t="s">
        <v>274</v>
      </c>
      <c r="E474" s="37" t="s">
        <v>382</v>
      </c>
      <c r="F474" s="37"/>
      <c r="G474" s="34"/>
      <c r="H474" s="55"/>
      <c r="I474" s="55"/>
      <c r="J474" s="56"/>
      <c r="K474" s="55"/>
      <c r="L474" s="55">
        <f>L475</f>
        <v>0</v>
      </c>
      <c r="M474" s="207">
        <f t="shared" si="89"/>
        <v>45</v>
      </c>
      <c r="N474" s="207">
        <f t="shared" si="89"/>
        <v>45</v>
      </c>
      <c r="O474" s="262">
        <f t="shared" si="87"/>
        <v>100</v>
      </c>
      <c r="P474" s="146"/>
    </row>
    <row r="475" spans="1:16" ht="15" customHeight="1">
      <c r="A475" s="105" t="s">
        <v>195</v>
      </c>
      <c r="B475" s="12"/>
      <c r="C475" s="11" t="s">
        <v>258</v>
      </c>
      <c r="D475" s="11" t="s">
        <v>274</v>
      </c>
      <c r="E475" s="37" t="s">
        <v>382</v>
      </c>
      <c r="F475" s="37" t="s">
        <v>376</v>
      </c>
      <c r="G475" s="34"/>
      <c r="H475" s="55"/>
      <c r="I475" s="55"/>
      <c r="J475" s="56"/>
      <c r="K475" s="55"/>
      <c r="L475" s="55">
        <f>L476</f>
        <v>0</v>
      </c>
      <c r="M475" s="207">
        <f t="shared" si="89"/>
        <v>45</v>
      </c>
      <c r="N475" s="207">
        <f t="shared" si="89"/>
        <v>45</v>
      </c>
      <c r="O475" s="262">
        <f t="shared" si="87"/>
        <v>100</v>
      </c>
      <c r="P475" s="146"/>
    </row>
    <row r="476" spans="1:16" ht="15" customHeight="1">
      <c r="A476" s="6" t="s">
        <v>209</v>
      </c>
      <c r="B476" s="12"/>
      <c r="C476" s="11" t="s">
        <v>258</v>
      </c>
      <c r="D476" s="11" t="s">
        <v>274</v>
      </c>
      <c r="E476" s="37" t="s">
        <v>382</v>
      </c>
      <c r="F476" s="37" t="s">
        <v>376</v>
      </c>
      <c r="G476" s="157">
        <v>3</v>
      </c>
      <c r="H476" s="55"/>
      <c r="I476" s="55"/>
      <c r="J476" s="56"/>
      <c r="K476" s="55"/>
      <c r="L476" s="55">
        <f>'проект бюджета 2013'!M306</f>
        <v>0</v>
      </c>
      <c r="M476" s="207">
        <f>'проект бюджета 2013'!N306</f>
        <v>45</v>
      </c>
      <c r="N476" s="207">
        <f>'проект бюджета 2013'!O306</f>
        <v>45</v>
      </c>
      <c r="O476" s="262">
        <f t="shared" si="87"/>
        <v>100</v>
      </c>
      <c r="P476" s="146"/>
    </row>
    <row r="477" spans="1:16" s="24" customFormat="1" ht="25.5" customHeight="1">
      <c r="A477" s="28" t="s">
        <v>149</v>
      </c>
      <c r="B477" s="28"/>
      <c r="C477" s="29"/>
      <c r="D477" s="29"/>
      <c r="E477" s="29"/>
      <c r="F477" s="29"/>
      <c r="G477" s="29"/>
      <c r="H477" s="57" t="e">
        <f>H16+H89+H153+H159+H297+H342+H348+H448+H84+H123</f>
        <v>#REF!</v>
      </c>
      <c r="I477" s="57" t="e">
        <f>I16+I89+I153+I159+I297+I342+I348+I448+I84+I123+I443+I79</f>
        <v>#REF!</v>
      </c>
      <c r="J477" s="56" t="e">
        <f t="shared" si="88"/>
        <v>#REF!</v>
      </c>
      <c r="K477" s="57" t="e">
        <f>K16+K89+K153+K159+K297+K342+K348+K448+K84+K123+K443+K79</f>
        <v>#REF!</v>
      </c>
      <c r="L477" s="57" t="e">
        <f>L16+L89+L153+L159+L297+L342+L348+L448+L84+L123+L443+L79</f>
        <v>#REF!</v>
      </c>
      <c r="M477" s="213">
        <f>M16+M89+M153+M159+M297+M342+M348+M448+M84+M123+M443+M79</f>
        <v>308073.22117999993</v>
      </c>
      <c r="N477" s="213">
        <f>N16+N89+N153+N159+N297+N342+N348+N448+N84+N123+N443+N79</f>
        <v>310575.01015</v>
      </c>
      <c r="O477" s="262">
        <f t="shared" si="87"/>
        <v>100.81207609035852</v>
      </c>
      <c r="P477" s="146"/>
    </row>
    <row r="478" spans="3:15" s="24" customFormat="1" ht="25.5" customHeight="1">
      <c r="C478" s="125"/>
      <c r="D478" s="125"/>
      <c r="E478" s="125"/>
      <c r="F478" s="125"/>
      <c r="G478" s="125"/>
      <c r="H478" s="126"/>
      <c r="I478" s="126"/>
      <c r="J478" s="127"/>
      <c r="K478" s="126"/>
      <c r="L478" s="126"/>
      <c r="M478" s="126"/>
      <c r="N478" s="126"/>
      <c r="O478" s="138">
        <f>N477-M477</f>
        <v>2501.7889700000524</v>
      </c>
    </row>
    <row r="479" spans="3:15" s="24" customFormat="1" ht="25.5" customHeight="1">
      <c r="C479" s="125"/>
      <c r="D479" s="125"/>
      <c r="E479" s="125"/>
      <c r="F479" s="125"/>
      <c r="G479" s="125"/>
      <c r="H479" s="126"/>
      <c r="I479" s="126"/>
      <c r="J479" s="127"/>
      <c r="K479" s="126"/>
      <c r="L479" s="126"/>
      <c r="M479" s="126"/>
      <c r="N479" s="126"/>
      <c r="O479" s="138"/>
    </row>
    <row r="480" spans="7:15" ht="12.75">
      <c r="G480" s="22" t="s">
        <v>349</v>
      </c>
      <c r="L480" s="53" t="e">
        <f>#REF!+L83+L126+L136+L208+L302+#REF!+#REF!+L420</f>
        <v>#REF!</v>
      </c>
      <c r="M480" s="53">
        <f>M83+M126+M136+M208+M302+M420+M112+M105+M259+M362+M391+M403+M367+M411+M141+M203+M372+M174+M305+M308</f>
        <v>56261.47984000001</v>
      </c>
      <c r="N480" s="53">
        <f>N83+N126+N136+N208+N302+N420+N112+N105+N259+N362+N391+N403+N367+N411+N141+N203+N372+N174+N305+N308</f>
        <v>58138.982670000005</v>
      </c>
      <c r="O480" s="53">
        <f>O83+O126+O136+O208+O302+O420+O112+O105+O259+O362+O391+O403+O367+O411+O141+O203+O372+O174+O305+O308</f>
        <v>1202.4761386892378</v>
      </c>
    </row>
    <row r="481" spans="7:15" ht="12.75">
      <c r="G481" s="22" t="s">
        <v>350</v>
      </c>
      <c r="L481" s="53" t="e">
        <f>L46+L49+L52+L128+L137+#REF!+L212+L215+L218+#REF!+L236+#REF!+#REF!+#REF!+L404+L408+L421+L426+L429+L432+L435+L442+L454</f>
        <v>#REF!</v>
      </c>
      <c r="M481" s="53">
        <f>M46+M49+M52+M128+M137+M212+M215+M218+M236+M404+M408+M421+M426+M429+M432+M435+M442+M454+M113+M106+M170+M221+M260+M265+M332+M363+M384+M462+M466+M209+M295+M225+M368+M412+M179+M142+M373+M56+M175+M416+M186</f>
        <v>153137.75220999998</v>
      </c>
      <c r="N481" s="53">
        <f>N46+N49+N52+N128+N137+N212+N215+N218+N236+N404+N408+N421+N426+N429+N432+N435+N442+N454+N113+N106+N170+N221+N260+N265+N332+N363+N384+N462+N466+N209+N295+N225+N368+N412+N179+N142+N373+N56+N175+N416+N186</f>
        <v>153039.41350999995</v>
      </c>
      <c r="O481" s="53" t="e">
        <f>O46+O49+O52+O128+O137+O212+O215+O218+O236+O404+O408+O421+O426+O429+O432+O435+O442+O454+O113+O106+O170+O221+O260+O265+O332+O363+O384+O462+O466+O209+O295+O225+O368+O412+O179+O142+O373+O56+O175+O416+O186</f>
        <v>#DIV/0!</v>
      </c>
    </row>
    <row r="482" spans="7:15" ht="12.75">
      <c r="G482" s="22" t="s">
        <v>351</v>
      </c>
      <c r="L482" s="53" t="e">
        <f>L21+L26+#REF!+L31+L36+L42+L61+L88+L99+L122+L129+L138+L148+L158+L164+L166+L191+L193+L197+L199+L240+#REF!+L243+L250+L254+L272+L274+L284+L312+L315+L320+L323+L133+L337+#REF!+#REF!+L347+L353+L364+L378+L380+#REF!+#REF!+L438+L388+L394+L447+#REF!+L458</f>
        <v>#REF!</v>
      </c>
      <c r="M482" s="53">
        <f>M21+M26+M31+M36+M42+M61+M88+M99+M122+M129+M138+M148+M158+M164+M166+M191+M193+M197+M199+M469+M240+M243+M250+M254+M272+M274+M284+M312+M315+M320+M323+M133+M337+M347+M353+M364+M378+M380+M438+M388+M394+M447+M458+M69+M182+M231+M245+M261+M269+M472+M341+M476+M114+M107+M152+M72+M75+M78+M65+M369+M398+M94+M118+M290+M287+M296+M228+M278+M280+M204+M143+M357+M374+M176+M292</f>
        <v>93937.33213000001</v>
      </c>
      <c r="N482" s="53">
        <f>N21+N26+N31+N36+N42+N61+N88+N99+N122+N129+N138+N148+N158+N164+N166+N191+N193+N197+N199+N469+N240+N243+N250+N254+N272+N274+N284+N312+N315+N320+N323+N133+N337+N347+N353+N364+N378+N380+N438+N388+N394+N447+N458+N69+N182+N231+N245+N261+N269+N472+N341+N476+N114+N107+N152+N72+N75+N78+N65+N369+N398+N94+N118+N290+N287+N296+N228+N278+N280+N204+N143+N357+N374+N176+N292</f>
        <v>93470.03911999999</v>
      </c>
      <c r="O482" s="53">
        <f>O21+O26+O31+O36+O42+O61+O88+O99+O122+O129+O138+O148+O158+O164+O166+O191+O193+O197+O199+O469+O240+O243+O250+O254+O272+O274+O284+O312+O315+O320+O323+O133+O337+O347+O353+O364+O378+O380+O438+O388+O394+O447+O458+O69+O182+O231+O245+O261+O269+O472+O341+O476+O114+O107+O152+O72+O75+O78+O65+O369+O398+O94+O118+O290+O287+O296+O228+O278+O280+O204+O143+O357+O374+O176+O292</f>
        <v>6086.055831232927</v>
      </c>
    </row>
    <row r="483" spans="7:15" ht="12.75">
      <c r="G483" s="22" t="s">
        <v>422</v>
      </c>
      <c r="L483" s="53"/>
      <c r="M483" s="53">
        <f>M108+M115+M313+M316+M321+M324+M381+M100+M144</f>
        <v>4736.657</v>
      </c>
      <c r="N483" s="53">
        <f>N108+N115+N313+N316+N321+N324+N381+N100+N144</f>
        <v>5425.57485</v>
      </c>
      <c r="O483" s="53">
        <f>O108+O115+O313+O316+O321+O324+O381+O100+O144</f>
        <v>995.437256622738</v>
      </c>
    </row>
    <row r="484" spans="7:15" ht="12.75">
      <c r="G484" s="22" t="s">
        <v>352</v>
      </c>
      <c r="L484" s="53" t="e">
        <f>L480+L481+L482</f>
        <v>#REF!</v>
      </c>
      <c r="M484" s="53">
        <f>M480+M481+M482+M483</f>
        <v>308073.22118</v>
      </c>
      <c r="N484" s="53">
        <f>N480+N481+N482+N483</f>
        <v>310074.01014999993</v>
      </c>
      <c r="O484" s="146" t="e">
        <f>O480+O481+O482+O483</f>
        <v>#DIV/0!</v>
      </c>
    </row>
    <row r="485" spans="12:14" ht="12.75">
      <c r="L485" s="53" t="e">
        <f>L477-L484</f>
        <v>#REF!</v>
      </c>
      <c r="M485" s="53">
        <f>M477-M484</f>
        <v>0</v>
      </c>
      <c r="N485" s="53">
        <f>N477-N484</f>
        <v>501.0000000000582</v>
      </c>
    </row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</sheetData>
  <sheetProtection/>
  <autoFilter ref="A15:O477"/>
  <mergeCells count="18">
    <mergeCell ref="J12:J15"/>
    <mergeCell ref="I12:I15"/>
    <mergeCell ref="M12:M15"/>
    <mergeCell ref="A12:A15"/>
    <mergeCell ref="D12:D15"/>
    <mergeCell ref="F12:F15"/>
    <mergeCell ref="C12:C15"/>
    <mergeCell ref="L12:L15"/>
    <mergeCell ref="C1:O1"/>
    <mergeCell ref="C2:O3"/>
    <mergeCell ref="A9:O9"/>
    <mergeCell ref="O12:O15"/>
    <mergeCell ref="H12:H15"/>
    <mergeCell ref="E12:E15"/>
    <mergeCell ref="N12:N15"/>
    <mergeCell ref="G6:L8"/>
    <mergeCell ref="K12:K15"/>
    <mergeCell ref="G12:G15"/>
  </mergeCells>
  <printOptions horizontalCentered="1"/>
  <pageMargins left="0.4330708661417323" right="0.15748031496062992" top="0.2755905511811024" bottom="0.1968503937007874" header="0.15748031496062992" footer="0.5118110236220472"/>
  <pageSetup blackAndWhite="1" fitToHeight="100" fitToWidth="1" horizontalDpi="600" verticalDpi="600" orientation="portrait" paperSize="9" scale="78" r:id="rId3"/>
  <headerFooter alignWithMargins="0">
    <oddHeader>&amp;R&amp;P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G548"/>
  <sheetViews>
    <sheetView showZeros="0" zoomScale="85" zoomScaleNormal="85" zoomScaleSheetLayoutView="85" zoomScalePageLayoutView="0" workbookViewId="0" topLeftCell="B512">
      <pane xSplit="3840" topLeftCell="E1" activePane="topLeft" state="split"/>
      <selection pane="topLeft" activeCell="B3" sqref="A3:IV3"/>
      <selection pane="topRight" activeCell="S7" sqref="S7:S8"/>
    </sheetView>
  </sheetViews>
  <sheetFormatPr defaultColWidth="9.00390625" defaultRowHeight="12.75" outlineLevelRow="1"/>
  <cols>
    <col min="1" max="1" width="45.00390625" style="20" customWidth="1"/>
    <col min="2" max="2" width="4.875" style="22" customWidth="1"/>
    <col min="3" max="3" width="6.00390625" style="22" customWidth="1"/>
    <col min="4" max="4" width="4.75390625" style="22" customWidth="1"/>
    <col min="5" max="5" width="9.625" style="22" customWidth="1"/>
    <col min="6" max="6" width="4.75390625" style="22" customWidth="1"/>
    <col min="7" max="7" width="4.00390625" style="20" customWidth="1"/>
    <col min="8" max="8" width="12.00390625" style="20" hidden="1" customWidth="1"/>
    <col min="9" max="9" width="13.25390625" style="20" hidden="1" customWidth="1"/>
    <col min="10" max="10" width="10.75390625" style="20" hidden="1" customWidth="1"/>
    <col min="11" max="13" width="13.25390625" style="20" hidden="1" customWidth="1"/>
    <col min="14" max="14" width="12.75390625" style="20" customWidth="1"/>
    <col min="15" max="15" width="13.375" style="20" customWidth="1"/>
    <col min="16" max="17" width="12.25390625" style="20" customWidth="1"/>
    <col min="18" max="16384" width="9.125" style="20" customWidth="1"/>
  </cols>
  <sheetData>
    <row r="1" spans="5:16" ht="15.75">
      <c r="E1" s="250" t="s">
        <v>453</v>
      </c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4:16" ht="12.75" customHeight="1"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4:16" ht="38.25" customHeight="1" hidden="1"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ht="36" customHeight="1" outlineLevel="1">
      <c r="A4" s="235" t="s">
        <v>388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1:6" ht="13.5" customHeight="1">
      <c r="A5" s="17"/>
      <c r="B5" s="17"/>
      <c r="C5" s="17"/>
      <c r="D5" s="17"/>
      <c r="E5" s="17"/>
      <c r="F5" s="17"/>
    </row>
    <row r="6" spans="1:16" ht="13.5" customHeight="1">
      <c r="A6" s="17"/>
      <c r="B6" s="17"/>
      <c r="C6" s="17"/>
      <c r="D6" s="17"/>
      <c r="E6" s="17"/>
      <c r="F6" s="17"/>
      <c r="I6" s="18"/>
      <c r="J6" s="20" t="s">
        <v>216</v>
      </c>
      <c r="K6" s="18"/>
      <c r="L6" s="18"/>
      <c r="M6" s="18"/>
      <c r="P6" s="18" t="s">
        <v>286</v>
      </c>
    </row>
    <row r="7" spans="1:16" s="21" customFormat="1" ht="13.5" customHeight="1">
      <c r="A7" s="255" t="s">
        <v>32</v>
      </c>
      <c r="B7" s="242" t="s">
        <v>40</v>
      </c>
      <c r="C7" s="242" t="s">
        <v>33</v>
      </c>
      <c r="D7" s="242" t="s">
        <v>34</v>
      </c>
      <c r="E7" s="242" t="s">
        <v>91</v>
      </c>
      <c r="F7" s="242" t="s">
        <v>21</v>
      </c>
      <c r="G7" s="260"/>
      <c r="H7" s="232" t="s">
        <v>193</v>
      </c>
      <c r="I7" s="232" t="s">
        <v>193</v>
      </c>
      <c r="J7" s="232" t="s">
        <v>194</v>
      </c>
      <c r="K7" s="232" t="s">
        <v>193</v>
      </c>
      <c r="L7" s="232" t="s">
        <v>193</v>
      </c>
      <c r="M7" s="258" t="s">
        <v>192</v>
      </c>
      <c r="N7" s="258" t="s">
        <v>192</v>
      </c>
      <c r="O7" s="258" t="s">
        <v>449</v>
      </c>
      <c r="P7" s="258" t="s">
        <v>450</v>
      </c>
    </row>
    <row r="8" spans="1:16" s="21" customFormat="1" ht="12.75" customHeight="1">
      <c r="A8" s="256"/>
      <c r="B8" s="243"/>
      <c r="C8" s="243"/>
      <c r="D8" s="243"/>
      <c r="E8" s="243"/>
      <c r="F8" s="243"/>
      <c r="G8" s="260"/>
      <c r="H8" s="233"/>
      <c r="I8" s="233"/>
      <c r="J8" s="233"/>
      <c r="K8" s="233"/>
      <c r="L8" s="233"/>
      <c r="M8" s="258"/>
      <c r="N8" s="258"/>
      <c r="O8" s="258"/>
      <c r="P8" s="258"/>
    </row>
    <row r="9" spans="1:16" s="21" customFormat="1" ht="13.5" customHeight="1">
      <c r="A9" s="256"/>
      <c r="B9" s="243"/>
      <c r="C9" s="243"/>
      <c r="D9" s="243"/>
      <c r="E9" s="243"/>
      <c r="F9" s="243"/>
      <c r="G9" s="260"/>
      <c r="H9" s="233"/>
      <c r="I9" s="233"/>
      <c r="J9" s="233"/>
      <c r="K9" s="233"/>
      <c r="L9" s="233"/>
      <c r="M9" s="258"/>
      <c r="N9" s="258"/>
      <c r="O9" s="258"/>
      <c r="P9" s="258"/>
    </row>
    <row r="10" spans="1:16" s="21" customFormat="1" ht="10.5" customHeight="1">
      <c r="A10" s="257"/>
      <c r="B10" s="244"/>
      <c r="C10" s="244"/>
      <c r="D10" s="244"/>
      <c r="E10" s="244"/>
      <c r="F10" s="244"/>
      <c r="G10" s="260"/>
      <c r="H10" s="234"/>
      <c r="I10" s="234"/>
      <c r="J10" s="234"/>
      <c r="K10" s="234"/>
      <c r="L10" s="234"/>
      <c r="M10" s="258"/>
      <c r="N10" s="258"/>
      <c r="O10" s="258"/>
      <c r="P10" s="258"/>
    </row>
    <row r="11" spans="1:33" s="25" customFormat="1" ht="28.5">
      <c r="A11" s="2" t="s">
        <v>246</v>
      </c>
      <c r="B11" s="10" t="s">
        <v>163</v>
      </c>
      <c r="C11" s="10">
        <v>0</v>
      </c>
      <c r="D11" s="10">
        <v>0</v>
      </c>
      <c r="E11" s="10">
        <v>0</v>
      </c>
      <c r="F11" s="12">
        <v>0</v>
      </c>
      <c r="G11" s="34"/>
      <c r="H11" s="56" t="e">
        <f>H12</f>
        <v>#REF!</v>
      </c>
      <c r="I11" s="56" t="e">
        <f>I12</f>
        <v>#REF!</v>
      </c>
      <c r="J11" s="56" t="e">
        <f aca="true" t="shared" si="0" ref="J11:J18">I11-H11</f>
        <v>#REF!</v>
      </c>
      <c r="K11" s="56" t="e">
        <f>K12</f>
        <v>#REF!</v>
      </c>
      <c r="L11" s="56" t="e">
        <f>L12</f>
        <v>#REF!</v>
      </c>
      <c r="M11" s="56" t="e">
        <f>M12</f>
        <v>#REF!</v>
      </c>
      <c r="N11" s="208">
        <f>N12</f>
        <v>1895.1</v>
      </c>
      <c r="O11" s="208">
        <f>O12</f>
        <v>1894.8718</v>
      </c>
      <c r="P11" s="261">
        <f>O11/N11*100</f>
        <v>99.9879584190808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16" ht="14.25">
      <c r="A12" s="3" t="s">
        <v>70</v>
      </c>
      <c r="B12" s="10" t="s">
        <v>163</v>
      </c>
      <c r="C12" s="10" t="s">
        <v>140</v>
      </c>
      <c r="D12" s="10">
        <v>0</v>
      </c>
      <c r="E12" s="10">
        <v>0</v>
      </c>
      <c r="F12" s="10">
        <v>0</v>
      </c>
      <c r="G12" s="34"/>
      <c r="H12" s="56" t="e">
        <f>H13</f>
        <v>#REF!</v>
      </c>
      <c r="I12" s="56" t="e">
        <f>I13</f>
        <v>#REF!</v>
      </c>
      <c r="J12" s="56" t="e">
        <f t="shared" si="0"/>
        <v>#REF!</v>
      </c>
      <c r="K12" s="56" t="e">
        <f>K13</f>
        <v>#REF!</v>
      </c>
      <c r="L12" s="56" t="e">
        <f>L13</f>
        <v>#REF!</v>
      </c>
      <c r="M12" s="56" t="e">
        <f>M13</f>
        <v>#REF!</v>
      </c>
      <c r="N12" s="208">
        <f>N13+N18</f>
        <v>1895.1</v>
      </c>
      <c r="O12" s="208">
        <f>O13+O18</f>
        <v>1894.8718</v>
      </c>
      <c r="P12" s="261">
        <f aca="true" t="shared" si="1" ref="P12:P72">O12/N12*100</f>
        <v>99.9879584190808</v>
      </c>
    </row>
    <row r="13" spans="1:16" ht="57">
      <c r="A13" s="4" t="s">
        <v>93</v>
      </c>
      <c r="B13" s="11" t="s">
        <v>163</v>
      </c>
      <c r="C13" s="11" t="s">
        <v>140</v>
      </c>
      <c r="D13" s="11" t="s">
        <v>168</v>
      </c>
      <c r="E13" s="11">
        <v>0</v>
      </c>
      <c r="F13" s="11">
        <v>0</v>
      </c>
      <c r="G13" s="34"/>
      <c r="H13" s="56" t="e">
        <f>H14+#REF!</f>
        <v>#REF!</v>
      </c>
      <c r="I13" s="56" t="e">
        <f>I14+#REF!</f>
        <v>#REF!</v>
      </c>
      <c r="J13" s="56" t="e">
        <f t="shared" si="0"/>
        <v>#REF!</v>
      </c>
      <c r="K13" s="56" t="e">
        <f>K14+#REF!+K20</f>
        <v>#REF!</v>
      </c>
      <c r="L13" s="56" t="e">
        <f>L14+#REF!+L20</f>
        <v>#REF!</v>
      </c>
      <c r="M13" s="56" t="e">
        <f>M14+#REF!+M20</f>
        <v>#REF!</v>
      </c>
      <c r="N13" s="208">
        <f>N14</f>
        <v>1895.1</v>
      </c>
      <c r="O13" s="208">
        <f>O14</f>
        <v>1894.8718</v>
      </c>
      <c r="P13" s="261">
        <f t="shared" si="1"/>
        <v>99.9879584190808</v>
      </c>
    </row>
    <row r="14" spans="1:16" ht="51">
      <c r="A14" s="5" t="s">
        <v>1</v>
      </c>
      <c r="B14" s="12" t="s">
        <v>163</v>
      </c>
      <c r="C14" s="12" t="s">
        <v>140</v>
      </c>
      <c r="D14" s="12" t="s">
        <v>168</v>
      </c>
      <c r="E14" s="12" t="s">
        <v>0</v>
      </c>
      <c r="F14" s="12">
        <v>0</v>
      </c>
      <c r="G14" s="34"/>
      <c r="H14" s="56">
        <f aca="true" t="shared" si="2" ref="H14:I16">H15</f>
        <v>1190</v>
      </c>
      <c r="I14" s="56">
        <f t="shared" si="2"/>
        <v>1565</v>
      </c>
      <c r="J14" s="56">
        <f t="shared" si="0"/>
        <v>375</v>
      </c>
      <c r="K14" s="56">
        <f aca="true" t="shared" si="3" ref="K14:L16">K15</f>
        <v>1565</v>
      </c>
      <c r="L14" s="56">
        <f t="shared" si="3"/>
        <v>1565</v>
      </c>
      <c r="M14" s="56">
        <f aca="true" t="shared" si="4" ref="M14:O16">M15</f>
        <v>1515.5</v>
      </c>
      <c r="N14" s="207">
        <f>N15</f>
        <v>1895.1</v>
      </c>
      <c r="O14" s="207">
        <f>O15</f>
        <v>1894.8718</v>
      </c>
      <c r="P14" s="261">
        <f t="shared" si="1"/>
        <v>99.9879584190808</v>
      </c>
    </row>
    <row r="15" spans="1:16" ht="14.25">
      <c r="A15" s="5" t="s">
        <v>86</v>
      </c>
      <c r="B15" s="12" t="s">
        <v>163</v>
      </c>
      <c r="C15" s="12" t="s">
        <v>140</v>
      </c>
      <c r="D15" s="12" t="s">
        <v>168</v>
      </c>
      <c r="E15" s="12" t="s">
        <v>2</v>
      </c>
      <c r="F15" s="12"/>
      <c r="G15" s="34"/>
      <c r="H15" s="56">
        <f t="shared" si="2"/>
        <v>1190</v>
      </c>
      <c r="I15" s="56">
        <f t="shared" si="2"/>
        <v>1565</v>
      </c>
      <c r="J15" s="56">
        <f t="shared" si="0"/>
        <v>375</v>
      </c>
      <c r="K15" s="56">
        <f t="shared" si="3"/>
        <v>1565</v>
      </c>
      <c r="L15" s="56">
        <f t="shared" si="3"/>
        <v>1565</v>
      </c>
      <c r="M15" s="56">
        <f t="shared" si="4"/>
        <v>1515.5</v>
      </c>
      <c r="N15" s="207">
        <f t="shared" si="4"/>
        <v>1895.1</v>
      </c>
      <c r="O15" s="207">
        <f t="shared" si="4"/>
        <v>1894.8718</v>
      </c>
      <c r="P15" s="261">
        <f t="shared" si="1"/>
        <v>99.9879584190808</v>
      </c>
    </row>
    <row r="16" spans="1:16" ht="25.5">
      <c r="A16" s="6" t="s">
        <v>97</v>
      </c>
      <c r="B16" s="12" t="s">
        <v>163</v>
      </c>
      <c r="C16" s="13" t="s">
        <v>140</v>
      </c>
      <c r="D16" s="12" t="s">
        <v>168</v>
      </c>
      <c r="E16" s="13" t="s">
        <v>2</v>
      </c>
      <c r="F16" s="13" t="s">
        <v>323</v>
      </c>
      <c r="G16" s="34"/>
      <c r="H16" s="56">
        <f t="shared" si="2"/>
        <v>1190</v>
      </c>
      <c r="I16" s="56">
        <f t="shared" si="2"/>
        <v>1565</v>
      </c>
      <c r="J16" s="56">
        <f t="shared" si="0"/>
        <v>375</v>
      </c>
      <c r="K16" s="56">
        <f t="shared" si="3"/>
        <v>1565</v>
      </c>
      <c r="L16" s="56">
        <f t="shared" si="3"/>
        <v>1565</v>
      </c>
      <c r="M16" s="56">
        <f t="shared" si="4"/>
        <v>1515.5</v>
      </c>
      <c r="N16" s="207">
        <f t="shared" si="4"/>
        <v>1895.1</v>
      </c>
      <c r="O16" s="207">
        <f t="shared" si="4"/>
        <v>1894.8718</v>
      </c>
      <c r="P16" s="261">
        <f t="shared" si="1"/>
        <v>99.9879584190808</v>
      </c>
    </row>
    <row r="17" spans="1:33" s="23" customFormat="1" ht="14.25">
      <c r="A17" s="6" t="s">
        <v>209</v>
      </c>
      <c r="B17" s="12" t="s">
        <v>163</v>
      </c>
      <c r="C17" s="13" t="s">
        <v>140</v>
      </c>
      <c r="D17" s="12" t="s">
        <v>168</v>
      </c>
      <c r="E17" s="13" t="s">
        <v>2</v>
      </c>
      <c r="F17" s="13" t="s">
        <v>323</v>
      </c>
      <c r="G17" s="34">
        <v>3</v>
      </c>
      <c r="H17" s="79">
        <v>1190</v>
      </c>
      <c r="I17" s="56">
        <f>2041-476</f>
        <v>1565</v>
      </c>
      <c r="J17" s="56">
        <f t="shared" si="0"/>
        <v>375</v>
      </c>
      <c r="K17" s="56">
        <f>2041-476</f>
        <v>1565</v>
      </c>
      <c r="L17" s="56">
        <f>2041-476</f>
        <v>1565</v>
      </c>
      <c r="M17" s="102">
        <f>1270.2-50-20-30-119.6+364.9+100</f>
        <v>1515.5</v>
      </c>
      <c r="N17" s="208">
        <f>1695-100+90+210.1</f>
        <v>1895.1</v>
      </c>
      <c r="O17" s="208">
        <f>1894.8718</f>
        <v>1894.8718</v>
      </c>
      <c r="P17" s="261">
        <f t="shared" si="1"/>
        <v>99.9879584190808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16" ht="14.25">
      <c r="A18" s="4" t="s">
        <v>39</v>
      </c>
      <c r="B18" s="12" t="s">
        <v>163</v>
      </c>
      <c r="C18" s="11" t="s">
        <v>140</v>
      </c>
      <c r="D18" s="11" t="s">
        <v>252</v>
      </c>
      <c r="E18" s="11"/>
      <c r="F18" s="15"/>
      <c r="G18" s="34"/>
      <c r="H18" s="55" t="e">
        <f>H19+H27+#REF!+#REF!+#REF!+#REF!+H35</f>
        <v>#REF!</v>
      </c>
      <c r="I18" s="55" t="e">
        <f>I19+I27+I35+I31+#REF!+I34+#REF!</f>
        <v>#REF!</v>
      </c>
      <c r="J18" s="56" t="e">
        <f t="shared" si="0"/>
        <v>#REF!</v>
      </c>
      <c r="K18" s="55" t="e">
        <f>K19+K27+K35+K31+#REF!+K34+#REF!+K24+#REF!</f>
        <v>#REF!</v>
      </c>
      <c r="L18" s="55" t="e">
        <f>L19+L27+L35+L31+#REF!+L34+#REF!+L24+#REF!</f>
        <v>#REF!</v>
      </c>
      <c r="M18" s="55" t="e">
        <f>M19+M27+M35+M31+#REF!+M34+#REF!+M24+#REF!+M41</f>
        <v>#REF!</v>
      </c>
      <c r="N18" s="207">
        <f aca="true" t="shared" si="5" ref="N18:O21">N19</f>
        <v>0</v>
      </c>
      <c r="O18" s="207">
        <f t="shared" si="5"/>
        <v>0</v>
      </c>
      <c r="P18" s="261"/>
    </row>
    <row r="19" spans="1:33" s="23" customFormat="1" ht="39.75" customHeight="1">
      <c r="A19" s="5" t="s">
        <v>162</v>
      </c>
      <c r="B19" s="12" t="s">
        <v>163</v>
      </c>
      <c r="C19" s="13" t="s">
        <v>140</v>
      </c>
      <c r="D19" s="80" t="s">
        <v>252</v>
      </c>
      <c r="E19" s="13" t="s">
        <v>241</v>
      </c>
      <c r="F19" s="13"/>
      <c r="G19" s="34"/>
      <c r="H19" s="79"/>
      <c r="I19" s="56"/>
      <c r="J19" s="56"/>
      <c r="K19" s="56">
        <f>K20</f>
        <v>500</v>
      </c>
      <c r="L19" s="56">
        <f>L20</f>
        <v>0</v>
      </c>
      <c r="M19" s="56">
        <f>M20</f>
        <v>500</v>
      </c>
      <c r="N19" s="207">
        <f t="shared" si="5"/>
        <v>0</v>
      </c>
      <c r="O19" s="207">
        <f t="shared" si="5"/>
        <v>0</v>
      </c>
      <c r="P19" s="261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s="23" customFormat="1" ht="16.5" customHeight="1">
      <c r="A20" s="6" t="s">
        <v>397</v>
      </c>
      <c r="B20" s="12" t="s">
        <v>163</v>
      </c>
      <c r="C20" s="13" t="s">
        <v>140</v>
      </c>
      <c r="D20" s="80" t="s">
        <v>252</v>
      </c>
      <c r="E20" s="13" t="s">
        <v>241</v>
      </c>
      <c r="F20" s="13" t="s">
        <v>250</v>
      </c>
      <c r="G20" s="34"/>
      <c r="H20" s="79"/>
      <c r="I20" s="56"/>
      <c r="J20" s="56"/>
      <c r="K20" s="56">
        <f>K22</f>
        <v>500</v>
      </c>
      <c r="L20" s="56">
        <f>L22</f>
        <v>0</v>
      </c>
      <c r="M20" s="56">
        <f>M22</f>
        <v>500</v>
      </c>
      <c r="N20" s="207">
        <f t="shared" si="5"/>
        <v>0</v>
      </c>
      <c r="O20" s="207">
        <f t="shared" si="5"/>
        <v>0</v>
      </c>
      <c r="P20" s="261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s="23" customFormat="1" ht="16.5" customHeight="1">
      <c r="A21" s="6" t="s">
        <v>309</v>
      </c>
      <c r="B21" s="13" t="s">
        <v>163</v>
      </c>
      <c r="C21" s="13" t="s">
        <v>140</v>
      </c>
      <c r="D21" s="80" t="s">
        <v>252</v>
      </c>
      <c r="E21" s="13" t="s">
        <v>241</v>
      </c>
      <c r="F21" s="13" t="s">
        <v>308</v>
      </c>
      <c r="G21" s="34"/>
      <c r="H21" s="79"/>
      <c r="I21" s="56"/>
      <c r="J21" s="56"/>
      <c r="K21" s="56"/>
      <c r="L21" s="56"/>
      <c r="M21" s="56"/>
      <c r="N21" s="207">
        <f t="shared" si="5"/>
        <v>0</v>
      </c>
      <c r="O21" s="207">
        <f t="shared" si="5"/>
        <v>0</v>
      </c>
      <c r="P21" s="261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s="23" customFormat="1" ht="15" customHeight="1">
      <c r="A22" s="6" t="s">
        <v>209</v>
      </c>
      <c r="B22" s="13" t="s">
        <v>163</v>
      </c>
      <c r="C22" s="13" t="s">
        <v>140</v>
      </c>
      <c r="D22" s="80" t="s">
        <v>252</v>
      </c>
      <c r="E22" s="13" t="s">
        <v>241</v>
      </c>
      <c r="F22" s="13" t="s">
        <v>308</v>
      </c>
      <c r="G22" s="34">
        <v>3</v>
      </c>
      <c r="H22" s="79"/>
      <c r="I22" s="56"/>
      <c r="J22" s="56"/>
      <c r="K22" s="56">
        <v>500</v>
      </c>
      <c r="L22" s="56">
        <f>500-500</f>
        <v>0</v>
      </c>
      <c r="M22" s="102">
        <f>500-100+100</f>
        <v>500</v>
      </c>
      <c r="N22" s="207">
        <f>500-500</f>
        <v>0</v>
      </c>
      <c r="O22" s="207">
        <f>500-500</f>
        <v>0</v>
      </c>
      <c r="P22" s="261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s="25" customFormat="1" ht="28.5">
      <c r="A23" s="2" t="s">
        <v>247</v>
      </c>
      <c r="B23" s="10" t="s">
        <v>164</v>
      </c>
      <c r="C23" s="10">
        <v>0</v>
      </c>
      <c r="D23" s="10">
        <v>0</v>
      </c>
      <c r="E23" s="10">
        <v>0</v>
      </c>
      <c r="F23" s="12">
        <v>0</v>
      </c>
      <c r="G23" s="34"/>
      <c r="H23" s="56" t="e">
        <f>H24+H78+H148+#REF!+#REF!+H112+H142+H176+#REF!+#REF!</f>
        <v>#REF!</v>
      </c>
      <c r="I23" s="56" t="e">
        <f>I24+I78+I148+#REF!+#REF!+I112+I142+I176+#REF!+#REF!+I254+I73</f>
        <v>#REF!</v>
      </c>
      <c r="J23" s="56" t="e">
        <f aca="true" t="shared" si="6" ref="J23:J34">I23-H23</f>
        <v>#REF!</v>
      </c>
      <c r="K23" s="56" t="e">
        <f>K24+K78+K148+#REF!+#REF!+K112+K142+K176+#REF!+#REF!+K254+K73</f>
        <v>#REF!</v>
      </c>
      <c r="L23" s="56" t="e">
        <f>L24+L78+L148+#REF!+#REF!+L112+L142+L176+#REF!+#REF!+L254+L73</f>
        <v>#REF!</v>
      </c>
      <c r="M23" s="56" t="e">
        <f>M24+M78+M148+#REF!+#REF!+M112+M142+M176+#REF!+#REF!+M254+M73+M170</f>
        <v>#REF!</v>
      </c>
      <c r="N23" s="208">
        <f>N24+N78+N148+N112+N142+N176+N254+N73+N170</f>
        <v>127311.56984</v>
      </c>
      <c r="O23" s="208">
        <f>O24+O78+O148+O112+O142+O176+O254+O73+O170</f>
        <v>129315.60489999999</v>
      </c>
      <c r="P23" s="261">
        <f t="shared" si="1"/>
        <v>101.57411856794994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16" ht="14.25">
      <c r="A24" s="3" t="s">
        <v>70</v>
      </c>
      <c r="B24" s="10" t="s">
        <v>164</v>
      </c>
      <c r="C24" s="10" t="s">
        <v>140</v>
      </c>
      <c r="D24" s="10"/>
      <c r="E24" s="10"/>
      <c r="F24" s="10"/>
      <c r="G24" s="34"/>
      <c r="H24" s="55" t="e">
        <f>H25+H30+H35+H41</f>
        <v>#REF!</v>
      </c>
      <c r="I24" s="55" t="e">
        <f>I25+I30+I35+I41+#REF!</f>
        <v>#REF!</v>
      </c>
      <c r="J24" s="56" t="e">
        <f t="shared" si="6"/>
        <v>#REF!</v>
      </c>
      <c r="K24" s="55" t="e">
        <f>K25+K30+K35+K41+#REF!</f>
        <v>#REF!</v>
      </c>
      <c r="L24" s="55" t="e">
        <f>L25+L30+L35+L41+#REF!</f>
        <v>#REF!</v>
      </c>
      <c r="M24" s="55" t="e">
        <f>M25+M30+M35+M41+#REF!</f>
        <v>#REF!</v>
      </c>
      <c r="N24" s="207">
        <f>N25+N30+N35+N41</f>
        <v>25642.729</v>
      </c>
      <c r="O24" s="207">
        <f>O25+O30+O35+O41</f>
        <v>25200.31693</v>
      </c>
      <c r="P24" s="261">
        <f t="shared" si="1"/>
        <v>98.27470753990343</v>
      </c>
    </row>
    <row r="25" spans="1:16" ht="42.75">
      <c r="A25" s="3" t="s">
        <v>99</v>
      </c>
      <c r="B25" s="10" t="s">
        <v>164</v>
      </c>
      <c r="C25" s="10" t="s">
        <v>140</v>
      </c>
      <c r="D25" s="10" t="s">
        <v>170</v>
      </c>
      <c r="E25" s="10"/>
      <c r="F25" s="10"/>
      <c r="G25" s="34"/>
      <c r="H25" s="55">
        <f aca="true" t="shared" si="7" ref="H25:I28">H26</f>
        <v>1072</v>
      </c>
      <c r="I25" s="55">
        <f t="shared" si="7"/>
        <v>977</v>
      </c>
      <c r="J25" s="56">
        <f t="shared" si="6"/>
        <v>-95</v>
      </c>
      <c r="K25" s="55">
        <f aca="true" t="shared" si="8" ref="K25:L28">K26</f>
        <v>977</v>
      </c>
      <c r="L25" s="55">
        <f t="shared" si="8"/>
        <v>977</v>
      </c>
      <c r="M25" s="55">
        <f aca="true" t="shared" si="9" ref="M25:O28">M26</f>
        <v>1269.9</v>
      </c>
      <c r="N25" s="207">
        <f t="shared" si="9"/>
        <v>1351.241</v>
      </c>
      <c r="O25" s="207">
        <f t="shared" si="9"/>
        <v>1349.83563</v>
      </c>
      <c r="P25" s="261">
        <f t="shared" si="1"/>
        <v>99.89599412688041</v>
      </c>
    </row>
    <row r="26" spans="1:16" ht="51">
      <c r="A26" s="5" t="s">
        <v>1</v>
      </c>
      <c r="B26" s="11" t="s">
        <v>164</v>
      </c>
      <c r="C26" s="11" t="s">
        <v>140</v>
      </c>
      <c r="D26" s="11" t="s">
        <v>170</v>
      </c>
      <c r="E26" s="11" t="s">
        <v>0</v>
      </c>
      <c r="F26" s="10"/>
      <c r="G26" s="34"/>
      <c r="H26" s="55">
        <f t="shared" si="7"/>
        <v>1072</v>
      </c>
      <c r="I26" s="55">
        <f t="shared" si="7"/>
        <v>977</v>
      </c>
      <c r="J26" s="56">
        <f t="shared" si="6"/>
        <v>-95</v>
      </c>
      <c r="K26" s="55">
        <f t="shared" si="8"/>
        <v>977</v>
      </c>
      <c r="L26" s="55">
        <f t="shared" si="8"/>
        <v>977</v>
      </c>
      <c r="M26" s="55">
        <f t="shared" si="9"/>
        <v>1269.9</v>
      </c>
      <c r="N26" s="207">
        <f t="shared" si="9"/>
        <v>1351.241</v>
      </c>
      <c r="O26" s="207">
        <f t="shared" si="9"/>
        <v>1349.83563</v>
      </c>
      <c r="P26" s="261">
        <f t="shared" si="1"/>
        <v>99.89599412688041</v>
      </c>
    </row>
    <row r="27" spans="1:16" ht="14.25">
      <c r="A27" s="3" t="s">
        <v>100</v>
      </c>
      <c r="B27" s="11" t="s">
        <v>164</v>
      </c>
      <c r="C27" s="11" t="s">
        <v>140</v>
      </c>
      <c r="D27" s="11" t="s">
        <v>170</v>
      </c>
      <c r="E27" s="11" t="s">
        <v>98</v>
      </c>
      <c r="F27" s="10"/>
      <c r="G27" s="34"/>
      <c r="H27" s="55">
        <f t="shared" si="7"/>
        <v>1072</v>
      </c>
      <c r="I27" s="55">
        <f t="shared" si="7"/>
        <v>977</v>
      </c>
      <c r="J27" s="56">
        <f t="shared" si="6"/>
        <v>-95</v>
      </c>
      <c r="K27" s="55">
        <f t="shared" si="8"/>
        <v>977</v>
      </c>
      <c r="L27" s="55">
        <f t="shared" si="8"/>
        <v>977</v>
      </c>
      <c r="M27" s="55">
        <f t="shared" si="9"/>
        <v>1269.9</v>
      </c>
      <c r="N27" s="207">
        <f t="shared" si="9"/>
        <v>1351.241</v>
      </c>
      <c r="O27" s="207">
        <f t="shared" si="9"/>
        <v>1349.83563</v>
      </c>
      <c r="P27" s="261">
        <f t="shared" si="1"/>
        <v>99.89599412688041</v>
      </c>
    </row>
    <row r="28" spans="1:16" ht="28.5">
      <c r="A28" s="48" t="s">
        <v>97</v>
      </c>
      <c r="B28" s="49" t="s">
        <v>164</v>
      </c>
      <c r="C28" s="49" t="s">
        <v>140</v>
      </c>
      <c r="D28" s="49" t="s">
        <v>170</v>
      </c>
      <c r="E28" s="49" t="s">
        <v>98</v>
      </c>
      <c r="F28" s="49" t="s">
        <v>323</v>
      </c>
      <c r="G28" s="34"/>
      <c r="H28" s="55">
        <f t="shared" si="7"/>
        <v>1072</v>
      </c>
      <c r="I28" s="55">
        <f t="shared" si="7"/>
        <v>977</v>
      </c>
      <c r="J28" s="113">
        <f t="shared" si="6"/>
        <v>-95</v>
      </c>
      <c r="K28" s="55">
        <f t="shared" si="8"/>
        <v>977</v>
      </c>
      <c r="L28" s="55">
        <f t="shared" si="8"/>
        <v>977</v>
      </c>
      <c r="M28" s="55">
        <f t="shared" si="9"/>
        <v>1269.9</v>
      </c>
      <c r="N28" s="207">
        <f t="shared" si="9"/>
        <v>1351.241</v>
      </c>
      <c r="O28" s="207">
        <f t="shared" si="9"/>
        <v>1349.83563</v>
      </c>
      <c r="P28" s="261">
        <f t="shared" si="1"/>
        <v>99.89599412688041</v>
      </c>
    </row>
    <row r="29" spans="1:33" s="23" customFormat="1" ht="14.25">
      <c r="A29" s="6" t="s">
        <v>209</v>
      </c>
      <c r="B29" s="49" t="s">
        <v>164</v>
      </c>
      <c r="C29" s="49" t="s">
        <v>140</v>
      </c>
      <c r="D29" s="49" t="s">
        <v>170</v>
      </c>
      <c r="E29" s="49" t="s">
        <v>98</v>
      </c>
      <c r="F29" s="49" t="s">
        <v>323</v>
      </c>
      <c r="G29" s="34">
        <v>3</v>
      </c>
      <c r="H29" s="72">
        <v>1072</v>
      </c>
      <c r="I29" s="55">
        <f>1110-133</f>
        <v>977</v>
      </c>
      <c r="J29" s="113">
        <f t="shared" si="6"/>
        <v>-95</v>
      </c>
      <c r="K29" s="55">
        <f>1110-133</f>
        <v>977</v>
      </c>
      <c r="L29" s="55">
        <f>1110-133</f>
        <v>977</v>
      </c>
      <c r="M29" s="103">
        <f>1331.9-145+83</f>
        <v>1269.9</v>
      </c>
      <c r="N29" s="207">
        <f>1017+307+64.8+19.3-56.859</f>
        <v>1351.241</v>
      </c>
      <c r="O29" s="207">
        <v>1349.83563</v>
      </c>
      <c r="P29" s="261">
        <f t="shared" si="1"/>
        <v>99.89599412688041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16" ht="71.25">
      <c r="A30" s="4" t="s">
        <v>94</v>
      </c>
      <c r="B30" s="11" t="s">
        <v>164</v>
      </c>
      <c r="C30" s="11" t="s">
        <v>140</v>
      </c>
      <c r="D30" s="11" t="s">
        <v>171</v>
      </c>
      <c r="E30" s="11"/>
      <c r="F30" s="11"/>
      <c r="G30" s="34"/>
      <c r="H30" s="55" t="e">
        <f>H31+#REF!</f>
        <v>#REF!</v>
      </c>
      <c r="I30" s="55" t="e">
        <f>I31+#REF!</f>
        <v>#REF!</v>
      </c>
      <c r="J30" s="56" t="e">
        <f t="shared" si="6"/>
        <v>#REF!</v>
      </c>
      <c r="K30" s="55" t="e">
        <f>K31+#REF!</f>
        <v>#REF!</v>
      </c>
      <c r="L30" s="55" t="e">
        <f>L31+#REF!</f>
        <v>#REF!</v>
      </c>
      <c r="M30" s="55" t="e">
        <f>M31+#REF!</f>
        <v>#REF!</v>
      </c>
      <c r="N30" s="207">
        <f>N31</f>
        <v>19457</v>
      </c>
      <c r="O30" s="207">
        <f>O31</f>
        <v>19030.30777</v>
      </c>
      <c r="P30" s="261">
        <f t="shared" si="1"/>
        <v>97.80699886930154</v>
      </c>
    </row>
    <row r="31" spans="1:16" ht="51">
      <c r="A31" s="5" t="s">
        <v>1</v>
      </c>
      <c r="B31" s="12" t="s">
        <v>164</v>
      </c>
      <c r="C31" s="12" t="s">
        <v>140</v>
      </c>
      <c r="D31" s="12" t="s">
        <v>171</v>
      </c>
      <c r="E31" s="12" t="s">
        <v>0</v>
      </c>
      <c r="F31" s="12"/>
      <c r="G31" s="34"/>
      <c r="H31" s="55">
        <f aca="true" t="shared" si="10" ref="H31:I33">H32</f>
        <v>14355.24</v>
      </c>
      <c r="I31" s="55">
        <f t="shared" si="10"/>
        <v>16385.3</v>
      </c>
      <c r="J31" s="56">
        <f t="shared" si="6"/>
        <v>2030.0599999999995</v>
      </c>
      <c r="K31" s="55">
        <f aca="true" t="shared" si="11" ref="K31:O32">K32</f>
        <v>16385.3</v>
      </c>
      <c r="L31" s="55">
        <f t="shared" si="11"/>
        <v>16385.3</v>
      </c>
      <c r="M31" s="55">
        <f t="shared" si="11"/>
        <v>17910.6</v>
      </c>
      <c r="N31" s="207">
        <f t="shared" si="11"/>
        <v>19457</v>
      </c>
      <c r="O31" s="207">
        <f t="shared" si="11"/>
        <v>19030.30777</v>
      </c>
      <c r="P31" s="261">
        <f t="shared" si="1"/>
        <v>97.80699886930154</v>
      </c>
    </row>
    <row r="32" spans="1:16" ht="14.25">
      <c r="A32" s="5" t="s">
        <v>86</v>
      </c>
      <c r="B32" s="12" t="s">
        <v>164</v>
      </c>
      <c r="C32" s="12" t="s">
        <v>140</v>
      </c>
      <c r="D32" s="12" t="s">
        <v>171</v>
      </c>
      <c r="E32" s="12" t="s">
        <v>2</v>
      </c>
      <c r="F32" s="12"/>
      <c r="G32" s="34"/>
      <c r="H32" s="55">
        <f t="shared" si="10"/>
        <v>14355.24</v>
      </c>
      <c r="I32" s="55">
        <f t="shared" si="10"/>
        <v>16385.3</v>
      </c>
      <c r="J32" s="56">
        <f t="shared" si="6"/>
        <v>2030.0599999999995</v>
      </c>
      <c r="K32" s="55">
        <f t="shared" si="11"/>
        <v>16385.3</v>
      </c>
      <c r="L32" s="55">
        <f t="shared" si="11"/>
        <v>16385.3</v>
      </c>
      <c r="M32" s="55">
        <f t="shared" si="11"/>
        <v>17910.6</v>
      </c>
      <c r="N32" s="207">
        <f t="shared" si="11"/>
        <v>19457</v>
      </c>
      <c r="O32" s="207">
        <f t="shared" si="11"/>
        <v>19030.30777</v>
      </c>
      <c r="P32" s="261">
        <f t="shared" si="1"/>
        <v>97.80699886930154</v>
      </c>
    </row>
    <row r="33" spans="1:16" ht="25.5">
      <c r="A33" s="6" t="s">
        <v>97</v>
      </c>
      <c r="B33" s="13" t="s">
        <v>164</v>
      </c>
      <c r="C33" s="13" t="s">
        <v>140</v>
      </c>
      <c r="D33" s="13" t="s">
        <v>171</v>
      </c>
      <c r="E33" s="13" t="s">
        <v>2</v>
      </c>
      <c r="F33" s="13" t="s">
        <v>323</v>
      </c>
      <c r="G33" s="34"/>
      <c r="H33" s="55">
        <f t="shared" si="10"/>
        <v>14355.24</v>
      </c>
      <c r="I33" s="55">
        <f t="shared" si="10"/>
        <v>16385.3</v>
      </c>
      <c r="J33" s="56">
        <f t="shared" si="6"/>
        <v>2030.0599999999995</v>
      </c>
      <c r="K33" s="55">
        <f>K34</f>
        <v>16385.3</v>
      </c>
      <c r="L33" s="55">
        <f>L34</f>
        <v>16385.3</v>
      </c>
      <c r="M33" s="55">
        <f>M34</f>
        <v>17910.6</v>
      </c>
      <c r="N33" s="207">
        <f>N34</f>
        <v>19457</v>
      </c>
      <c r="O33" s="207">
        <f>O34</f>
        <v>19030.30777</v>
      </c>
      <c r="P33" s="261">
        <f t="shared" si="1"/>
        <v>97.80699886930154</v>
      </c>
    </row>
    <row r="34" spans="1:33" s="23" customFormat="1" ht="25.5" customHeight="1">
      <c r="A34" s="6" t="s">
        <v>209</v>
      </c>
      <c r="B34" s="13" t="s">
        <v>164</v>
      </c>
      <c r="C34" s="13" t="s">
        <v>140</v>
      </c>
      <c r="D34" s="13" t="s">
        <v>171</v>
      </c>
      <c r="E34" s="13" t="s">
        <v>2</v>
      </c>
      <c r="F34" s="13" t="s">
        <v>323</v>
      </c>
      <c r="G34" s="34">
        <v>3</v>
      </c>
      <c r="H34" s="55">
        <v>14355.24</v>
      </c>
      <c r="I34" s="55">
        <f>15870.3+515</f>
        <v>16385.3</v>
      </c>
      <c r="J34" s="56">
        <f t="shared" si="6"/>
        <v>2030.0599999999995</v>
      </c>
      <c r="K34" s="55">
        <f>15870.3+515</f>
        <v>16385.3</v>
      </c>
      <c r="L34" s="55">
        <f>15870.3+515</f>
        <v>16385.3</v>
      </c>
      <c r="M34" s="103">
        <f>22332-425.4-76-1526-900-400-1000+217-34-27-250</f>
        <v>17910.6</v>
      </c>
      <c r="N34" s="207">
        <f>18655+500+302</f>
        <v>19457</v>
      </c>
      <c r="O34" s="207">
        <v>19030.30777</v>
      </c>
      <c r="P34" s="261">
        <f t="shared" si="1"/>
        <v>97.80699886930154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1:16" ht="14.25">
      <c r="A35" s="4" t="s">
        <v>101</v>
      </c>
      <c r="B35" s="11" t="s">
        <v>164</v>
      </c>
      <c r="C35" s="11" t="s">
        <v>140</v>
      </c>
      <c r="D35" s="11" t="s">
        <v>251</v>
      </c>
      <c r="E35" s="11"/>
      <c r="F35" s="15"/>
      <c r="G35" s="34"/>
      <c r="H35" s="55">
        <f aca="true" t="shared" si="12" ref="H35:I39">H36</f>
        <v>519.4</v>
      </c>
      <c r="I35" s="55">
        <f t="shared" si="12"/>
        <v>500</v>
      </c>
      <c r="J35" s="56">
        <f aca="true" t="shared" si="13" ref="J35:J41">I35-H35</f>
        <v>-19.399999999999977</v>
      </c>
      <c r="K35" s="55">
        <f aca="true" t="shared" si="14" ref="K35:L39">K36</f>
        <v>500</v>
      </c>
      <c r="L35" s="55">
        <f t="shared" si="14"/>
        <v>500</v>
      </c>
      <c r="M35" s="55">
        <f aca="true" t="shared" si="15" ref="M35:O39">M36</f>
        <v>500</v>
      </c>
      <c r="N35" s="207">
        <f t="shared" si="15"/>
        <v>0</v>
      </c>
      <c r="O35" s="207">
        <f t="shared" si="15"/>
        <v>0</v>
      </c>
      <c r="P35" s="261"/>
    </row>
    <row r="36" spans="1:16" ht="14.25">
      <c r="A36" s="5" t="s">
        <v>101</v>
      </c>
      <c r="B36" s="12" t="s">
        <v>164</v>
      </c>
      <c r="C36" s="12" t="s">
        <v>140</v>
      </c>
      <c r="D36" s="12" t="s">
        <v>251</v>
      </c>
      <c r="E36" s="12" t="s">
        <v>102</v>
      </c>
      <c r="F36" s="15"/>
      <c r="G36" s="34"/>
      <c r="H36" s="55">
        <f t="shared" si="12"/>
        <v>519.4</v>
      </c>
      <c r="I36" s="55">
        <f t="shared" si="12"/>
        <v>500</v>
      </c>
      <c r="J36" s="56">
        <f t="shared" si="13"/>
        <v>-19.399999999999977</v>
      </c>
      <c r="K36" s="55">
        <f t="shared" si="14"/>
        <v>500</v>
      </c>
      <c r="L36" s="55">
        <f t="shared" si="14"/>
        <v>500</v>
      </c>
      <c r="M36" s="55">
        <f t="shared" si="15"/>
        <v>500</v>
      </c>
      <c r="N36" s="207">
        <f t="shared" si="15"/>
        <v>0</v>
      </c>
      <c r="O36" s="207">
        <f t="shared" si="15"/>
        <v>0</v>
      </c>
      <c r="P36" s="261"/>
    </row>
    <row r="37" spans="1:16" ht="14.25">
      <c r="A37" s="5" t="s">
        <v>104</v>
      </c>
      <c r="B37" s="12" t="s">
        <v>164</v>
      </c>
      <c r="C37" s="12" t="s">
        <v>140</v>
      </c>
      <c r="D37" s="11" t="s">
        <v>251</v>
      </c>
      <c r="E37" s="12" t="s">
        <v>103</v>
      </c>
      <c r="F37" s="15"/>
      <c r="G37" s="34"/>
      <c r="H37" s="55">
        <f>H39</f>
        <v>519.4</v>
      </c>
      <c r="I37" s="55">
        <f>I39</f>
        <v>500</v>
      </c>
      <c r="J37" s="56">
        <f t="shared" si="13"/>
        <v>-19.399999999999977</v>
      </c>
      <c r="K37" s="55">
        <f>K39</f>
        <v>500</v>
      </c>
      <c r="L37" s="55">
        <f>L39</f>
        <v>500</v>
      </c>
      <c r="M37" s="55">
        <f>M39</f>
        <v>500</v>
      </c>
      <c r="N37" s="207">
        <f>N38</f>
        <v>0</v>
      </c>
      <c r="O37" s="207">
        <f>O38</f>
        <v>0</v>
      </c>
      <c r="P37" s="261"/>
    </row>
    <row r="38" spans="1:16" ht="14.25">
      <c r="A38" s="6" t="s">
        <v>397</v>
      </c>
      <c r="B38" s="12" t="s">
        <v>164</v>
      </c>
      <c r="C38" s="12" t="s">
        <v>140</v>
      </c>
      <c r="D38" s="12" t="s">
        <v>251</v>
      </c>
      <c r="E38" s="12" t="s">
        <v>103</v>
      </c>
      <c r="F38" s="13" t="s">
        <v>250</v>
      </c>
      <c r="G38" s="34"/>
      <c r="H38" s="55"/>
      <c r="I38" s="55"/>
      <c r="J38" s="56"/>
      <c r="K38" s="55"/>
      <c r="L38" s="55"/>
      <c r="M38" s="55"/>
      <c r="N38" s="207">
        <f>N39</f>
        <v>0</v>
      </c>
      <c r="O38" s="207">
        <f>O39</f>
        <v>0</v>
      </c>
      <c r="P38" s="261"/>
    </row>
    <row r="39" spans="1:16" ht="14.25">
      <c r="A39" s="6" t="s">
        <v>309</v>
      </c>
      <c r="B39" s="12" t="s">
        <v>164</v>
      </c>
      <c r="C39" s="12" t="s">
        <v>140</v>
      </c>
      <c r="D39" s="12" t="s">
        <v>251</v>
      </c>
      <c r="E39" s="12" t="s">
        <v>103</v>
      </c>
      <c r="F39" s="13" t="s">
        <v>308</v>
      </c>
      <c r="G39" s="34"/>
      <c r="H39" s="55">
        <f t="shared" si="12"/>
        <v>519.4</v>
      </c>
      <c r="I39" s="55">
        <f t="shared" si="12"/>
        <v>500</v>
      </c>
      <c r="J39" s="56">
        <f t="shared" si="13"/>
        <v>-19.399999999999977</v>
      </c>
      <c r="K39" s="55">
        <f t="shared" si="14"/>
        <v>500</v>
      </c>
      <c r="L39" s="55">
        <f t="shared" si="14"/>
        <v>500</v>
      </c>
      <c r="M39" s="55">
        <f t="shared" si="15"/>
        <v>500</v>
      </c>
      <c r="N39" s="207">
        <f t="shared" si="15"/>
        <v>0</v>
      </c>
      <c r="O39" s="207">
        <f t="shared" si="15"/>
        <v>0</v>
      </c>
      <c r="P39" s="261"/>
    </row>
    <row r="40" spans="1:33" s="23" customFormat="1" ht="14.25">
      <c r="A40" s="6" t="s">
        <v>209</v>
      </c>
      <c r="B40" s="12" t="s">
        <v>164</v>
      </c>
      <c r="C40" s="12" t="s">
        <v>140</v>
      </c>
      <c r="D40" s="12" t="s">
        <v>251</v>
      </c>
      <c r="E40" s="12" t="s">
        <v>103</v>
      </c>
      <c r="F40" s="13" t="s">
        <v>308</v>
      </c>
      <c r="G40" s="34">
        <v>3</v>
      </c>
      <c r="H40" s="55">
        <v>519.4</v>
      </c>
      <c r="I40" s="55">
        <v>500</v>
      </c>
      <c r="J40" s="56">
        <f t="shared" si="13"/>
        <v>-19.399999999999977</v>
      </c>
      <c r="K40" s="55">
        <v>500</v>
      </c>
      <c r="L40" s="55">
        <v>500</v>
      </c>
      <c r="M40" s="55">
        <f>500-100+100</f>
        <v>500</v>
      </c>
      <c r="N40" s="207">
        <f>500-300-50-37.48-10-13.275-15-42.1-10-0.00013-22.14487</f>
        <v>0</v>
      </c>
      <c r="O40" s="207">
        <f>500-300-50-37.48-10-13.275-15-42.1-10-0.00013-22.14487</f>
        <v>0</v>
      </c>
      <c r="P40" s="261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1:16" ht="14.25">
      <c r="A41" s="4" t="s">
        <v>39</v>
      </c>
      <c r="B41" s="11" t="s">
        <v>164</v>
      </c>
      <c r="C41" s="11" t="s">
        <v>140</v>
      </c>
      <c r="D41" s="11" t="s">
        <v>252</v>
      </c>
      <c r="E41" s="11"/>
      <c r="F41" s="15"/>
      <c r="G41" s="34"/>
      <c r="H41" s="55" t="e">
        <f>#REF!+#REF!+#REF!+H44+H47+H50+H55</f>
        <v>#REF!</v>
      </c>
      <c r="I41" s="55" t="e">
        <f>#REF!+#REF!+I55+#REF!+I42+I45+I48</f>
        <v>#REF!</v>
      </c>
      <c r="J41" s="56" t="e">
        <f t="shared" si="13"/>
        <v>#REF!</v>
      </c>
      <c r="K41" s="55" t="e">
        <f>#REF!+#REF!+K55+#REF!+K42+K45+K48+#REF!+#REF!</f>
        <v>#REF!</v>
      </c>
      <c r="L41" s="55" t="e">
        <f>#REF!+#REF!+L55+#REF!+L42+L45+L48+#REF!+#REF!</f>
        <v>#REF!</v>
      </c>
      <c r="M41" s="55" t="e">
        <f>#REF!+#REF!+M55+#REF!+M42+M45+M48+#REF!+#REF!+M60</f>
        <v>#REF!</v>
      </c>
      <c r="N41" s="207">
        <f>N55+N42+N45+N48+N60+N51</f>
        <v>4834.487999999999</v>
      </c>
      <c r="O41" s="207">
        <f>O55+O42+O45+O48+O60+O51</f>
        <v>4820.17353</v>
      </c>
      <c r="P41" s="261">
        <f t="shared" si="1"/>
        <v>99.70390928677453</v>
      </c>
    </row>
    <row r="42" spans="1:16" ht="38.25">
      <c r="A42" s="6" t="s">
        <v>234</v>
      </c>
      <c r="B42" s="12" t="s">
        <v>164</v>
      </c>
      <c r="C42" s="12" t="s">
        <v>140</v>
      </c>
      <c r="D42" s="12" t="s">
        <v>252</v>
      </c>
      <c r="E42" s="12" t="s">
        <v>231</v>
      </c>
      <c r="F42" s="15"/>
      <c r="G42" s="34"/>
      <c r="H42" s="55">
        <f>H43</f>
        <v>183.5</v>
      </c>
      <c r="I42" s="55">
        <f>I44</f>
        <v>197.8</v>
      </c>
      <c r="J42" s="56">
        <f aca="true" t="shared" si="16" ref="J42:J50">I42-H42</f>
        <v>14.300000000000011</v>
      </c>
      <c r="K42" s="55">
        <f>K44</f>
        <v>197.8</v>
      </c>
      <c r="L42" s="55">
        <f>L44</f>
        <v>197.8</v>
      </c>
      <c r="M42" s="55">
        <f>M44</f>
        <v>192.6</v>
      </c>
      <c r="N42" s="207">
        <f>N44</f>
        <v>193.1</v>
      </c>
      <c r="O42" s="207">
        <f>O44</f>
        <v>193.1</v>
      </c>
      <c r="P42" s="261">
        <f t="shared" si="1"/>
        <v>100</v>
      </c>
    </row>
    <row r="43" spans="1:16" ht="25.5">
      <c r="A43" s="109" t="s">
        <v>97</v>
      </c>
      <c r="B43" s="12" t="s">
        <v>164</v>
      </c>
      <c r="C43" s="12" t="s">
        <v>140</v>
      </c>
      <c r="D43" s="11" t="s">
        <v>252</v>
      </c>
      <c r="E43" s="13" t="s">
        <v>231</v>
      </c>
      <c r="F43" s="13" t="s">
        <v>323</v>
      </c>
      <c r="G43" s="34"/>
      <c r="H43" s="55">
        <f>H44</f>
        <v>183.5</v>
      </c>
      <c r="I43" s="55">
        <f>I44</f>
        <v>197.8</v>
      </c>
      <c r="J43" s="56">
        <f t="shared" si="16"/>
        <v>14.300000000000011</v>
      </c>
      <c r="K43" s="55">
        <f>K44</f>
        <v>197.8</v>
      </c>
      <c r="L43" s="55">
        <f>L44</f>
        <v>197.8</v>
      </c>
      <c r="M43" s="55">
        <f>M44</f>
        <v>192.6</v>
      </c>
      <c r="N43" s="207">
        <f>N44</f>
        <v>193.1</v>
      </c>
      <c r="O43" s="207">
        <f>O44</f>
        <v>193.1</v>
      </c>
      <c r="P43" s="261">
        <f t="shared" si="1"/>
        <v>100</v>
      </c>
    </row>
    <row r="44" spans="1:16" ht="14.25">
      <c r="A44" s="6" t="s">
        <v>211</v>
      </c>
      <c r="B44" s="12" t="s">
        <v>164</v>
      </c>
      <c r="C44" s="12" t="s">
        <v>140</v>
      </c>
      <c r="D44" s="12" t="s">
        <v>252</v>
      </c>
      <c r="E44" s="13" t="s">
        <v>231</v>
      </c>
      <c r="F44" s="13" t="s">
        <v>323</v>
      </c>
      <c r="G44" s="34">
        <v>2</v>
      </c>
      <c r="H44" s="55">
        <v>183.5</v>
      </c>
      <c r="I44" s="55">
        <v>197.8</v>
      </c>
      <c r="J44" s="56">
        <f t="shared" si="16"/>
        <v>14.300000000000011</v>
      </c>
      <c r="K44" s="55">
        <v>197.8</v>
      </c>
      <c r="L44" s="55">
        <v>197.8</v>
      </c>
      <c r="M44" s="55">
        <v>192.6</v>
      </c>
      <c r="N44" s="207">
        <v>193.1</v>
      </c>
      <c r="O44" s="207">
        <v>193.1</v>
      </c>
      <c r="P44" s="261">
        <f t="shared" si="1"/>
        <v>100</v>
      </c>
    </row>
    <row r="45" spans="1:16" ht="25.5">
      <c r="A45" s="6" t="s">
        <v>235</v>
      </c>
      <c r="B45" s="12" t="s">
        <v>164</v>
      </c>
      <c r="C45" s="12" t="s">
        <v>140</v>
      </c>
      <c r="D45" s="11" t="s">
        <v>252</v>
      </c>
      <c r="E45" s="13" t="s">
        <v>232</v>
      </c>
      <c r="F45" s="15"/>
      <c r="G45" s="34"/>
      <c r="H45" s="55">
        <f>H46</f>
        <v>210.8</v>
      </c>
      <c r="I45" s="55">
        <f>I47</f>
        <v>224</v>
      </c>
      <c r="J45" s="56">
        <f t="shared" si="16"/>
        <v>13.199999999999989</v>
      </c>
      <c r="K45" s="55">
        <f>K47</f>
        <v>224</v>
      </c>
      <c r="L45" s="55">
        <f>L47</f>
        <v>224</v>
      </c>
      <c r="M45" s="55">
        <f>M47</f>
        <v>220.4</v>
      </c>
      <c r="N45" s="207">
        <f>N47</f>
        <v>222.5</v>
      </c>
      <c r="O45" s="207">
        <f>O47</f>
        <v>222.5</v>
      </c>
      <c r="P45" s="261">
        <f t="shared" si="1"/>
        <v>100</v>
      </c>
    </row>
    <row r="46" spans="1:16" ht="25.5">
      <c r="A46" s="109" t="s">
        <v>97</v>
      </c>
      <c r="B46" s="12" t="s">
        <v>164</v>
      </c>
      <c r="C46" s="12" t="s">
        <v>140</v>
      </c>
      <c r="D46" s="12" t="s">
        <v>252</v>
      </c>
      <c r="E46" s="13" t="s">
        <v>232</v>
      </c>
      <c r="F46" s="13" t="s">
        <v>323</v>
      </c>
      <c r="G46" s="34"/>
      <c r="H46" s="55">
        <f>H47</f>
        <v>210.8</v>
      </c>
      <c r="I46" s="55">
        <f>I47</f>
        <v>224</v>
      </c>
      <c r="J46" s="56">
        <f t="shared" si="16"/>
        <v>13.199999999999989</v>
      </c>
      <c r="K46" s="55">
        <f>K47</f>
        <v>224</v>
      </c>
      <c r="L46" s="55">
        <f>L47</f>
        <v>224</v>
      </c>
      <c r="M46" s="55">
        <f>M47</f>
        <v>220.4</v>
      </c>
      <c r="N46" s="207">
        <f>N47</f>
        <v>222.5</v>
      </c>
      <c r="O46" s="207">
        <f>O47</f>
        <v>222.5</v>
      </c>
      <c r="P46" s="261">
        <f t="shared" si="1"/>
        <v>100</v>
      </c>
    </row>
    <row r="47" spans="1:16" ht="14.25">
      <c r="A47" s="6" t="s">
        <v>211</v>
      </c>
      <c r="B47" s="12" t="s">
        <v>164</v>
      </c>
      <c r="C47" s="12" t="s">
        <v>140</v>
      </c>
      <c r="D47" s="11" t="s">
        <v>252</v>
      </c>
      <c r="E47" s="13" t="s">
        <v>232</v>
      </c>
      <c r="F47" s="13" t="s">
        <v>323</v>
      </c>
      <c r="G47" s="34">
        <v>2</v>
      </c>
      <c r="H47" s="55">
        <v>210.8</v>
      </c>
      <c r="I47" s="55">
        <v>224</v>
      </c>
      <c r="J47" s="56">
        <f t="shared" si="16"/>
        <v>13.199999999999989</v>
      </c>
      <c r="K47" s="55">
        <v>224</v>
      </c>
      <c r="L47" s="55">
        <v>224</v>
      </c>
      <c r="M47" s="55">
        <v>220.4</v>
      </c>
      <c r="N47" s="207">
        <v>222.5</v>
      </c>
      <c r="O47" s="207">
        <v>222.5</v>
      </c>
      <c r="P47" s="261">
        <f t="shared" si="1"/>
        <v>100</v>
      </c>
    </row>
    <row r="48" spans="1:16" ht="25.5">
      <c r="A48" s="6" t="s">
        <v>236</v>
      </c>
      <c r="B48" s="12" t="s">
        <v>164</v>
      </c>
      <c r="C48" s="12" t="s">
        <v>140</v>
      </c>
      <c r="D48" s="12" t="s">
        <v>252</v>
      </c>
      <c r="E48" s="13" t="s">
        <v>233</v>
      </c>
      <c r="F48" s="15"/>
      <c r="G48" s="34"/>
      <c r="H48" s="55">
        <f>H49</f>
        <v>183.5</v>
      </c>
      <c r="I48" s="55">
        <f>I50</f>
        <v>195.1</v>
      </c>
      <c r="J48" s="56">
        <f t="shared" si="16"/>
        <v>11.599999999999994</v>
      </c>
      <c r="K48" s="55">
        <f>K50</f>
        <v>195.1</v>
      </c>
      <c r="L48" s="55">
        <f>L50</f>
        <v>195.1</v>
      </c>
      <c r="M48" s="55">
        <f>M50</f>
        <v>192.6</v>
      </c>
      <c r="N48" s="207">
        <f>N50</f>
        <v>193.1</v>
      </c>
      <c r="O48" s="207">
        <f>O50</f>
        <v>193.1</v>
      </c>
      <c r="P48" s="261">
        <f t="shared" si="1"/>
        <v>100</v>
      </c>
    </row>
    <row r="49" spans="1:16" ht="25.5">
      <c r="A49" s="109" t="s">
        <v>97</v>
      </c>
      <c r="B49" s="12" t="s">
        <v>164</v>
      </c>
      <c r="C49" s="12" t="s">
        <v>140</v>
      </c>
      <c r="D49" s="11" t="s">
        <v>252</v>
      </c>
      <c r="E49" s="13" t="s">
        <v>233</v>
      </c>
      <c r="F49" s="13" t="s">
        <v>323</v>
      </c>
      <c r="G49" s="34"/>
      <c r="H49" s="55">
        <f>H50</f>
        <v>183.5</v>
      </c>
      <c r="I49" s="55">
        <f>I50</f>
        <v>195.1</v>
      </c>
      <c r="J49" s="56">
        <f t="shared" si="16"/>
        <v>11.599999999999994</v>
      </c>
      <c r="K49" s="55">
        <f>K50</f>
        <v>195.1</v>
      </c>
      <c r="L49" s="55">
        <f>L50</f>
        <v>195.1</v>
      </c>
      <c r="M49" s="55">
        <f>M50</f>
        <v>192.6</v>
      </c>
      <c r="N49" s="207">
        <f>N50</f>
        <v>193.1</v>
      </c>
      <c r="O49" s="207">
        <f>O50</f>
        <v>193.1</v>
      </c>
      <c r="P49" s="261">
        <f t="shared" si="1"/>
        <v>100</v>
      </c>
    </row>
    <row r="50" spans="1:16" ht="14.25">
      <c r="A50" s="6" t="s">
        <v>211</v>
      </c>
      <c r="B50" s="12" t="s">
        <v>164</v>
      </c>
      <c r="C50" s="12" t="s">
        <v>140</v>
      </c>
      <c r="D50" s="12" t="s">
        <v>252</v>
      </c>
      <c r="E50" s="13" t="s">
        <v>233</v>
      </c>
      <c r="F50" s="13" t="s">
        <v>323</v>
      </c>
      <c r="G50" s="34">
        <v>2</v>
      </c>
      <c r="H50" s="55">
        <v>183.5</v>
      </c>
      <c r="I50" s="55">
        <v>195.1</v>
      </c>
      <c r="J50" s="56">
        <f t="shared" si="16"/>
        <v>11.599999999999994</v>
      </c>
      <c r="K50" s="55">
        <v>195.1</v>
      </c>
      <c r="L50" s="55">
        <v>195.1</v>
      </c>
      <c r="M50" s="55">
        <v>192.6</v>
      </c>
      <c r="N50" s="207">
        <v>193.1</v>
      </c>
      <c r="O50" s="207">
        <v>193.1</v>
      </c>
      <c r="P50" s="261">
        <f t="shared" si="1"/>
        <v>100</v>
      </c>
    </row>
    <row r="51" spans="1:16" ht="14.25">
      <c r="A51" s="6" t="s">
        <v>437</v>
      </c>
      <c r="B51" s="37" t="s">
        <v>164</v>
      </c>
      <c r="C51" s="37" t="s">
        <v>140</v>
      </c>
      <c r="D51" s="37" t="s">
        <v>252</v>
      </c>
      <c r="E51" s="13" t="s">
        <v>417</v>
      </c>
      <c r="F51" s="13"/>
      <c r="G51" s="34"/>
      <c r="H51" s="55"/>
      <c r="I51" s="55"/>
      <c r="J51" s="56"/>
      <c r="K51" s="55"/>
      <c r="L51" s="55"/>
      <c r="M51" s="55"/>
      <c r="N51" s="207">
        <f aca="true" t="shared" si="17" ref="N51:O53">N52</f>
        <v>20</v>
      </c>
      <c r="O51" s="207">
        <f t="shared" si="17"/>
        <v>20</v>
      </c>
      <c r="P51" s="261">
        <f t="shared" si="1"/>
        <v>100</v>
      </c>
    </row>
    <row r="52" spans="1:16" ht="63.75">
      <c r="A52" s="6" t="s">
        <v>435</v>
      </c>
      <c r="B52" s="37" t="s">
        <v>164</v>
      </c>
      <c r="C52" s="37" t="s">
        <v>140</v>
      </c>
      <c r="D52" s="37" t="s">
        <v>252</v>
      </c>
      <c r="E52" s="13" t="s">
        <v>436</v>
      </c>
      <c r="F52" s="13"/>
      <c r="G52" s="34"/>
      <c r="H52" s="55"/>
      <c r="I52" s="55"/>
      <c r="J52" s="56"/>
      <c r="K52" s="55"/>
      <c r="L52" s="55"/>
      <c r="M52" s="55"/>
      <c r="N52" s="207">
        <f t="shared" si="17"/>
        <v>20</v>
      </c>
      <c r="O52" s="207">
        <f t="shared" si="17"/>
        <v>20</v>
      </c>
      <c r="P52" s="261">
        <f t="shared" si="1"/>
        <v>100</v>
      </c>
    </row>
    <row r="53" spans="1:16" ht="25.5">
      <c r="A53" s="109" t="s">
        <v>97</v>
      </c>
      <c r="B53" s="12" t="s">
        <v>164</v>
      </c>
      <c r="C53" s="37" t="s">
        <v>140</v>
      </c>
      <c r="D53" s="37" t="s">
        <v>252</v>
      </c>
      <c r="E53" s="13" t="s">
        <v>436</v>
      </c>
      <c r="F53" s="13" t="s">
        <v>323</v>
      </c>
      <c r="G53" s="34"/>
      <c r="H53" s="55"/>
      <c r="I53" s="55"/>
      <c r="J53" s="56"/>
      <c r="K53" s="55"/>
      <c r="L53" s="55"/>
      <c r="M53" s="55"/>
      <c r="N53" s="207">
        <f t="shared" si="17"/>
        <v>20</v>
      </c>
      <c r="O53" s="207">
        <f t="shared" si="17"/>
        <v>20</v>
      </c>
      <c r="P53" s="261">
        <f t="shared" si="1"/>
        <v>100</v>
      </c>
    </row>
    <row r="54" spans="1:16" ht="14.25">
      <c r="A54" s="169" t="s">
        <v>211</v>
      </c>
      <c r="B54" s="185" t="s">
        <v>164</v>
      </c>
      <c r="C54" s="186" t="s">
        <v>140</v>
      </c>
      <c r="D54" s="186" t="s">
        <v>252</v>
      </c>
      <c r="E54" s="101" t="s">
        <v>436</v>
      </c>
      <c r="F54" s="101" t="s">
        <v>323</v>
      </c>
      <c r="G54" s="187">
        <v>2</v>
      </c>
      <c r="H54" s="183"/>
      <c r="I54" s="183"/>
      <c r="J54" s="184"/>
      <c r="K54" s="183"/>
      <c r="L54" s="183"/>
      <c r="M54" s="183"/>
      <c r="N54" s="218">
        <v>20</v>
      </c>
      <c r="O54" s="218">
        <v>20</v>
      </c>
      <c r="P54" s="261">
        <f t="shared" si="1"/>
        <v>100</v>
      </c>
    </row>
    <row r="55" spans="1:16" ht="38.25">
      <c r="A55" s="5" t="s">
        <v>108</v>
      </c>
      <c r="B55" s="12" t="s">
        <v>164</v>
      </c>
      <c r="C55" s="12" t="s">
        <v>140</v>
      </c>
      <c r="D55" s="11" t="s">
        <v>252</v>
      </c>
      <c r="E55" s="12" t="s">
        <v>107</v>
      </c>
      <c r="F55" s="15"/>
      <c r="G55" s="34"/>
      <c r="H55" s="55">
        <f aca="true" t="shared" si="18" ref="H55:I58">H56</f>
        <v>432.5</v>
      </c>
      <c r="I55" s="55">
        <f t="shared" si="18"/>
        <v>1550</v>
      </c>
      <c r="J55" s="56">
        <f>I55-H55</f>
        <v>1117.5</v>
      </c>
      <c r="K55" s="55">
        <f aca="true" t="shared" si="19" ref="K55:L58">K56</f>
        <v>1348.9</v>
      </c>
      <c r="L55" s="55">
        <f t="shared" si="19"/>
        <v>1348.9</v>
      </c>
      <c r="M55" s="55">
        <f aca="true" t="shared" si="20" ref="M55:O58">M56</f>
        <v>500</v>
      </c>
      <c r="N55" s="207">
        <f t="shared" si="20"/>
        <v>201.43799999999987</v>
      </c>
      <c r="O55" s="207">
        <f t="shared" si="20"/>
        <v>201.43799999999987</v>
      </c>
      <c r="P55" s="261">
        <f t="shared" si="1"/>
        <v>100</v>
      </c>
    </row>
    <row r="56" spans="1:16" ht="25.5">
      <c r="A56" s="105" t="s">
        <v>293</v>
      </c>
      <c r="B56" s="12" t="s">
        <v>164</v>
      </c>
      <c r="C56" s="12" t="s">
        <v>140</v>
      </c>
      <c r="D56" s="12" t="s">
        <v>252</v>
      </c>
      <c r="E56" s="12" t="s">
        <v>109</v>
      </c>
      <c r="F56" s="15"/>
      <c r="G56" s="34"/>
      <c r="H56" s="55">
        <f t="shared" si="18"/>
        <v>432.5</v>
      </c>
      <c r="I56" s="55">
        <f t="shared" si="18"/>
        <v>1550</v>
      </c>
      <c r="J56" s="56">
        <f>I56-H56</f>
        <v>1117.5</v>
      </c>
      <c r="K56" s="55">
        <f t="shared" si="19"/>
        <v>1348.9</v>
      </c>
      <c r="L56" s="55">
        <f t="shared" si="19"/>
        <v>1348.9</v>
      </c>
      <c r="M56" s="55">
        <f t="shared" si="20"/>
        <v>500</v>
      </c>
      <c r="N56" s="207">
        <f t="shared" si="20"/>
        <v>201.43799999999987</v>
      </c>
      <c r="O56" s="207">
        <f t="shared" si="20"/>
        <v>201.43799999999987</v>
      </c>
      <c r="P56" s="261">
        <f t="shared" si="1"/>
        <v>100</v>
      </c>
    </row>
    <row r="57" spans="1:16" ht="25.5">
      <c r="A57" s="6" t="s">
        <v>111</v>
      </c>
      <c r="B57" s="13" t="s">
        <v>164</v>
      </c>
      <c r="C57" s="12" t="s">
        <v>140</v>
      </c>
      <c r="D57" s="11" t="s">
        <v>252</v>
      </c>
      <c r="E57" s="13" t="s">
        <v>110</v>
      </c>
      <c r="F57" s="13"/>
      <c r="G57" s="34"/>
      <c r="H57" s="55">
        <f t="shared" si="18"/>
        <v>432.5</v>
      </c>
      <c r="I57" s="55">
        <f t="shared" si="18"/>
        <v>1550</v>
      </c>
      <c r="J57" s="56">
        <f>I57-H57</f>
        <v>1117.5</v>
      </c>
      <c r="K57" s="55">
        <f t="shared" si="19"/>
        <v>1348.9</v>
      </c>
      <c r="L57" s="55">
        <f t="shared" si="19"/>
        <v>1348.9</v>
      </c>
      <c r="M57" s="55">
        <f t="shared" si="20"/>
        <v>500</v>
      </c>
      <c r="N57" s="207">
        <f t="shared" si="20"/>
        <v>201.43799999999987</v>
      </c>
      <c r="O57" s="207">
        <f t="shared" si="20"/>
        <v>201.43799999999987</v>
      </c>
      <c r="P57" s="261">
        <f t="shared" si="1"/>
        <v>100</v>
      </c>
    </row>
    <row r="58" spans="1:16" ht="25.5">
      <c r="A58" s="6" t="s">
        <v>97</v>
      </c>
      <c r="B58" s="13" t="s">
        <v>164</v>
      </c>
      <c r="C58" s="12" t="s">
        <v>140</v>
      </c>
      <c r="D58" s="11" t="s">
        <v>252</v>
      </c>
      <c r="E58" s="13" t="s">
        <v>110</v>
      </c>
      <c r="F58" s="13" t="s">
        <v>323</v>
      </c>
      <c r="G58" s="34"/>
      <c r="H58" s="55">
        <f t="shared" si="18"/>
        <v>432.5</v>
      </c>
      <c r="I58" s="55">
        <f t="shared" si="18"/>
        <v>1550</v>
      </c>
      <c r="J58" s="56">
        <f>I58-H58</f>
        <v>1117.5</v>
      </c>
      <c r="K58" s="55">
        <f t="shared" si="19"/>
        <v>1348.9</v>
      </c>
      <c r="L58" s="55">
        <f t="shared" si="19"/>
        <v>1348.9</v>
      </c>
      <c r="M58" s="55">
        <f t="shared" si="20"/>
        <v>500</v>
      </c>
      <c r="N58" s="207">
        <f t="shared" si="20"/>
        <v>201.43799999999987</v>
      </c>
      <c r="O58" s="207">
        <f t="shared" si="20"/>
        <v>201.43799999999987</v>
      </c>
      <c r="P58" s="261">
        <f t="shared" si="1"/>
        <v>100</v>
      </c>
    </row>
    <row r="59" spans="1:33" s="23" customFormat="1" ht="14.25">
      <c r="A59" s="5" t="s">
        <v>209</v>
      </c>
      <c r="B59" s="13" t="s">
        <v>164</v>
      </c>
      <c r="C59" s="12" t="s">
        <v>140</v>
      </c>
      <c r="D59" s="11" t="s">
        <v>252</v>
      </c>
      <c r="E59" s="13" t="s">
        <v>110</v>
      </c>
      <c r="F59" s="13" t="s">
        <v>323</v>
      </c>
      <c r="G59" s="34">
        <v>3</v>
      </c>
      <c r="H59" s="72">
        <f>172.5+60+200</f>
        <v>432.5</v>
      </c>
      <c r="I59" s="55">
        <f>950+1100-500</f>
        <v>1550</v>
      </c>
      <c r="J59" s="56">
        <f>I59-H59</f>
        <v>1117.5</v>
      </c>
      <c r="K59" s="55">
        <f>950+1100-500-100.1-101</f>
        <v>1348.9</v>
      </c>
      <c r="L59" s="55">
        <f>950+1100-500-100.1-101</f>
        <v>1348.9</v>
      </c>
      <c r="M59" s="55">
        <f>1500-1000</f>
        <v>500</v>
      </c>
      <c r="N59" s="207">
        <f>1700-0.362-676.7-200-620-1.5</f>
        <v>201.43799999999987</v>
      </c>
      <c r="O59" s="207">
        <f>1700-0.362-676.7-200-620-1.5</f>
        <v>201.43799999999987</v>
      </c>
      <c r="P59" s="261">
        <f t="shared" si="1"/>
        <v>100</v>
      </c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3" s="23" customFormat="1" ht="25.5">
      <c r="A60" s="6" t="s">
        <v>221</v>
      </c>
      <c r="B60" s="13" t="s">
        <v>164</v>
      </c>
      <c r="C60" s="12" t="s">
        <v>140</v>
      </c>
      <c r="D60" s="11" t="s">
        <v>252</v>
      </c>
      <c r="E60" s="12" t="s">
        <v>156</v>
      </c>
      <c r="F60" s="13"/>
      <c r="G60" s="34"/>
      <c r="H60" s="72"/>
      <c r="I60" s="55"/>
      <c r="J60" s="56"/>
      <c r="K60" s="55"/>
      <c r="L60" s="55"/>
      <c r="M60" s="55">
        <f aca="true" t="shared" si="21" ref="M60:O62">M61</f>
        <v>50</v>
      </c>
      <c r="N60" s="207">
        <f>N61+N64+N67+N70</f>
        <v>4004.35</v>
      </c>
      <c r="O60" s="207">
        <f>O61+O64+O67+O70</f>
        <v>3990.03553</v>
      </c>
      <c r="P60" s="261">
        <f t="shared" si="1"/>
        <v>99.64252700188545</v>
      </c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3" s="23" customFormat="1" ht="38.25">
      <c r="A61" s="105" t="s">
        <v>358</v>
      </c>
      <c r="B61" s="13" t="s">
        <v>164</v>
      </c>
      <c r="C61" s="12" t="s">
        <v>140</v>
      </c>
      <c r="D61" s="11" t="s">
        <v>252</v>
      </c>
      <c r="E61" s="13" t="s">
        <v>357</v>
      </c>
      <c r="F61" s="13"/>
      <c r="G61" s="34"/>
      <c r="H61" s="72"/>
      <c r="I61" s="55"/>
      <c r="J61" s="56"/>
      <c r="K61" s="55"/>
      <c r="L61" s="55"/>
      <c r="M61" s="55">
        <f t="shared" si="21"/>
        <v>50</v>
      </c>
      <c r="N61" s="207">
        <f t="shared" si="21"/>
        <v>295</v>
      </c>
      <c r="O61" s="207">
        <f t="shared" si="21"/>
        <v>295</v>
      </c>
      <c r="P61" s="261">
        <f t="shared" si="1"/>
        <v>100</v>
      </c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1:33" s="23" customFormat="1" ht="25.5">
      <c r="A62" s="6" t="s">
        <v>97</v>
      </c>
      <c r="B62" s="13" t="s">
        <v>164</v>
      </c>
      <c r="C62" s="12" t="s">
        <v>140</v>
      </c>
      <c r="D62" s="11" t="s">
        <v>252</v>
      </c>
      <c r="E62" s="13" t="s">
        <v>357</v>
      </c>
      <c r="F62" s="13" t="s">
        <v>323</v>
      </c>
      <c r="G62" s="34"/>
      <c r="H62" s="72"/>
      <c r="I62" s="55"/>
      <c r="J62" s="56"/>
      <c r="K62" s="55"/>
      <c r="L62" s="55"/>
      <c r="M62" s="55">
        <f t="shared" si="21"/>
        <v>50</v>
      </c>
      <c r="N62" s="207">
        <f t="shared" si="21"/>
        <v>295</v>
      </c>
      <c r="O62" s="207">
        <f t="shared" si="21"/>
        <v>295</v>
      </c>
      <c r="P62" s="261">
        <f t="shared" si="1"/>
        <v>100</v>
      </c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:33" s="23" customFormat="1" ht="14.25">
      <c r="A63" s="5" t="s">
        <v>209</v>
      </c>
      <c r="B63" s="13" t="s">
        <v>164</v>
      </c>
      <c r="C63" s="12" t="s">
        <v>140</v>
      </c>
      <c r="D63" s="11" t="s">
        <v>252</v>
      </c>
      <c r="E63" s="13" t="s">
        <v>357</v>
      </c>
      <c r="F63" s="13" t="s">
        <v>323</v>
      </c>
      <c r="G63" s="34">
        <v>3</v>
      </c>
      <c r="H63" s="72"/>
      <c r="I63" s="55"/>
      <c r="J63" s="56"/>
      <c r="K63" s="55"/>
      <c r="L63" s="55"/>
      <c r="M63" s="55">
        <f>150+150-250</f>
        <v>50</v>
      </c>
      <c r="N63" s="207">
        <f>200-100-50+150+95</f>
        <v>295</v>
      </c>
      <c r="O63" s="207">
        <f>200-100-50+150+95</f>
        <v>295</v>
      </c>
      <c r="P63" s="261">
        <f t="shared" si="1"/>
        <v>100</v>
      </c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 s="23" customFormat="1" ht="51">
      <c r="A64" s="105" t="s">
        <v>394</v>
      </c>
      <c r="B64" s="13" t="s">
        <v>164</v>
      </c>
      <c r="C64" s="12" t="s">
        <v>140</v>
      </c>
      <c r="D64" s="11" t="s">
        <v>252</v>
      </c>
      <c r="E64" s="13" t="s">
        <v>408</v>
      </c>
      <c r="F64" s="13"/>
      <c r="G64" s="34"/>
      <c r="H64" s="72"/>
      <c r="I64" s="55"/>
      <c r="J64" s="56"/>
      <c r="K64" s="55"/>
      <c r="L64" s="55"/>
      <c r="M64" s="55"/>
      <c r="N64" s="207">
        <f>N65</f>
        <v>218.99999999999997</v>
      </c>
      <c r="O64" s="207">
        <f>O65</f>
        <v>205</v>
      </c>
      <c r="P64" s="261">
        <f t="shared" si="1"/>
        <v>93.60730593607308</v>
      </c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1:33" s="23" customFormat="1" ht="25.5">
      <c r="A65" s="6" t="s">
        <v>97</v>
      </c>
      <c r="B65" s="13" t="s">
        <v>164</v>
      </c>
      <c r="C65" s="12" t="s">
        <v>140</v>
      </c>
      <c r="D65" s="11" t="s">
        <v>252</v>
      </c>
      <c r="E65" s="13" t="s">
        <v>408</v>
      </c>
      <c r="F65" s="13" t="s">
        <v>323</v>
      </c>
      <c r="G65" s="34"/>
      <c r="H65" s="72"/>
      <c r="I65" s="55"/>
      <c r="J65" s="56"/>
      <c r="K65" s="55"/>
      <c r="L65" s="55"/>
      <c r="M65" s="55"/>
      <c r="N65" s="207">
        <f>N66</f>
        <v>218.99999999999997</v>
      </c>
      <c r="O65" s="207">
        <f>O66</f>
        <v>205</v>
      </c>
      <c r="P65" s="261">
        <f t="shared" si="1"/>
        <v>93.60730593607308</v>
      </c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1:33" s="23" customFormat="1" ht="14.25">
      <c r="A66" s="5" t="s">
        <v>209</v>
      </c>
      <c r="B66" s="13" t="s">
        <v>164</v>
      </c>
      <c r="C66" s="12" t="s">
        <v>140</v>
      </c>
      <c r="D66" s="11" t="s">
        <v>252</v>
      </c>
      <c r="E66" s="13" t="s">
        <v>408</v>
      </c>
      <c r="F66" s="13" t="s">
        <v>323</v>
      </c>
      <c r="G66" s="34">
        <v>3</v>
      </c>
      <c r="H66" s="72"/>
      <c r="I66" s="55"/>
      <c r="J66" s="56"/>
      <c r="K66" s="55"/>
      <c r="L66" s="55"/>
      <c r="M66" s="55"/>
      <c r="N66" s="207">
        <f>400-100-100+200-30.6-150.4</f>
        <v>218.99999999999997</v>
      </c>
      <c r="O66" s="207">
        <v>205</v>
      </c>
      <c r="P66" s="261">
        <f t="shared" si="1"/>
        <v>93.60730593607308</v>
      </c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1:33" s="23" customFormat="1" ht="38.25">
      <c r="A67" s="105" t="s">
        <v>395</v>
      </c>
      <c r="B67" s="13" t="s">
        <v>164</v>
      </c>
      <c r="C67" s="12" t="s">
        <v>140</v>
      </c>
      <c r="D67" s="11" t="s">
        <v>252</v>
      </c>
      <c r="E67" s="13" t="s">
        <v>409</v>
      </c>
      <c r="F67" s="13"/>
      <c r="G67" s="34"/>
      <c r="H67" s="72"/>
      <c r="I67" s="55"/>
      <c r="J67" s="56"/>
      <c r="K67" s="55"/>
      <c r="L67" s="55"/>
      <c r="M67" s="55"/>
      <c r="N67" s="207">
        <f>N68</f>
        <v>51.15</v>
      </c>
      <c r="O67" s="207">
        <f>O68</f>
        <v>51.15</v>
      </c>
      <c r="P67" s="261">
        <f t="shared" si="1"/>
        <v>100</v>
      </c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1:33" s="23" customFormat="1" ht="25.5">
      <c r="A68" s="6" t="s">
        <v>97</v>
      </c>
      <c r="B68" s="13" t="s">
        <v>164</v>
      </c>
      <c r="C68" s="12" t="s">
        <v>140</v>
      </c>
      <c r="D68" s="11" t="s">
        <v>252</v>
      </c>
      <c r="E68" s="13" t="s">
        <v>409</v>
      </c>
      <c r="F68" s="13" t="s">
        <v>323</v>
      </c>
      <c r="G68" s="34"/>
      <c r="H68" s="72"/>
      <c r="I68" s="55"/>
      <c r="J68" s="56"/>
      <c r="K68" s="55"/>
      <c r="L68" s="55"/>
      <c r="M68" s="55"/>
      <c r="N68" s="207">
        <f>N69</f>
        <v>51.15</v>
      </c>
      <c r="O68" s="207">
        <f>O69</f>
        <v>51.15</v>
      </c>
      <c r="P68" s="261">
        <f t="shared" si="1"/>
        <v>100</v>
      </c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3" s="23" customFormat="1" ht="14.25">
      <c r="A69" s="5" t="s">
        <v>209</v>
      </c>
      <c r="B69" s="13" t="s">
        <v>164</v>
      </c>
      <c r="C69" s="12" t="s">
        <v>140</v>
      </c>
      <c r="D69" s="11" t="s">
        <v>252</v>
      </c>
      <c r="E69" s="13" t="s">
        <v>409</v>
      </c>
      <c r="F69" s="13" t="s">
        <v>323</v>
      </c>
      <c r="G69" s="34">
        <v>3</v>
      </c>
      <c r="H69" s="72"/>
      <c r="I69" s="55"/>
      <c r="J69" s="56"/>
      <c r="K69" s="55"/>
      <c r="L69" s="55"/>
      <c r="M69" s="55"/>
      <c r="N69" s="207">
        <f>50+1.15</f>
        <v>51.15</v>
      </c>
      <c r="O69" s="207">
        <f>50+1.15</f>
        <v>51.15</v>
      </c>
      <c r="P69" s="261">
        <f t="shared" si="1"/>
        <v>100</v>
      </c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1:33" s="23" customFormat="1" ht="38.25">
      <c r="A70" s="105" t="s">
        <v>396</v>
      </c>
      <c r="B70" s="13" t="s">
        <v>164</v>
      </c>
      <c r="C70" s="12" t="s">
        <v>140</v>
      </c>
      <c r="D70" s="11" t="s">
        <v>252</v>
      </c>
      <c r="E70" s="13" t="s">
        <v>410</v>
      </c>
      <c r="F70" s="13"/>
      <c r="G70" s="34"/>
      <c r="H70" s="72"/>
      <c r="I70" s="55"/>
      <c r="J70" s="56"/>
      <c r="K70" s="55"/>
      <c r="L70" s="55"/>
      <c r="M70" s="55"/>
      <c r="N70" s="207">
        <f>N71</f>
        <v>3439.2</v>
      </c>
      <c r="O70" s="207">
        <f>O71</f>
        <v>3438.88553</v>
      </c>
      <c r="P70" s="261">
        <f t="shared" si="1"/>
        <v>99.99085630379159</v>
      </c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1:33" s="23" customFormat="1" ht="25.5">
      <c r="A71" s="6" t="s">
        <v>97</v>
      </c>
      <c r="B71" s="13" t="s">
        <v>164</v>
      </c>
      <c r="C71" s="12" t="s">
        <v>140</v>
      </c>
      <c r="D71" s="11" t="s">
        <v>252</v>
      </c>
      <c r="E71" s="13" t="s">
        <v>410</v>
      </c>
      <c r="F71" s="13" t="s">
        <v>323</v>
      </c>
      <c r="G71" s="34"/>
      <c r="H71" s="72"/>
      <c r="I71" s="55"/>
      <c r="J71" s="56"/>
      <c r="K71" s="55"/>
      <c r="L71" s="55"/>
      <c r="M71" s="55"/>
      <c r="N71" s="207">
        <f>N72</f>
        <v>3439.2</v>
      </c>
      <c r="O71" s="207">
        <f>O72</f>
        <v>3438.88553</v>
      </c>
      <c r="P71" s="261">
        <f t="shared" si="1"/>
        <v>99.99085630379159</v>
      </c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1:33" s="23" customFormat="1" ht="14.25">
      <c r="A72" s="5" t="s">
        <v>209</v>
      </c>
      <c r="B72" s="13" t="s">
        <v>164</v>
      </c>
      <c r="C72" s="12" t="s">
        <v>140</v>
      </c>
      <c r="D72" s="11" t="s">
        <v>252</v>
      </c>
      <c r="E72" s="13" t="s">
        <v>410</v>
      </c>
      <c r="F72" s="13" t="s">
        <v>323</v>
      </c>
      <c r="G72" s="34">
        <v>3</v>
      </c>
      <c r="H72" s="72"/>
      <c r="I72" s="55"/>
      <c r="J72" s="56"/>
      <c r="K72" s="55"/>
      <c r="L72" s="55"/>
      <c r="M72" s="55"/>
      <c r="N72" s="207">
        <f>1500-700+1424+416+388+330+81.2</f>
        <v>3439.2</v>
      </c>
      <c r="O72" s="207">
        <v>3438.88553</v>
      </c>
      <c r="P72" s="261">
        <f t="shared" si="1"/>
        <v>99.99085630379159</v>
      </c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1:16" ht="28.5">
      <c r="A73" s="4" t="s">
        <v>37</v>
      </c>
      <c r="B73" s="11" t="s">
        <v>164</v>
      </c>
      <c r="C73" s="11" t="s">
        <v>141</v>
      </c>
      <c r="D73" s="11"/>
      <c r="E73" s="11"/>
      <c r="F73" s="11"/>
      <c r="G73" s="34"/>
      <c r="H73" s="58" t="e">
        <f>H74</f>
        <v>#REF!</v>
      </c>
      <c r="I73" s="58" t="e">
        <f>I74</f>
        <v>#REF!</v>
      </c>
      <c r="J73" s="56" t="e">
        <f>I73-H73</f>
        <v>#REF!</v>
      </c>
      <c r="K73" s="58" t="e">
        <f>K74</f>
        <v>#REF!</v>
      </c>
      <c r="L73" s="58" t="e">
        <f>L74</f>
        <v>#REF!</v>
      </c>
      <c r="M73" s="58">
        <f>M74</f>
        <v>10</v>
      </c>
      <c r="N73" s="217">
        <f>N74</f>
        <v>0</v>
      </c>
      <c r="O73" s="217">
        <f>O74</f>
        <v>0</v>
      </c>
      <c r="P73" s="261"/>
    </row>
    <row r="74" spans="1:16" ht="14.25">
      <c r="A74" s="5" t="s">
        <v>38</v>
      </c>
      <c r="B74" s="12" t="s">
        <v>164</v>
      </c>
      <c r="C74" s="12" t="s">
        <v>141</v>
      </c>
      <c r="D74" s="12" t="s">
        <v>189</v>
      </c>
      <c r="E74" s="12"/>
      <c r="F74" s="12"/>
      <c r="G74" s="34"/>
      <c r="H74" s="58" t="e">
        <f>#REF!</f>
        <v>#REF!</v>
      </c>
      <c r="I74" s="58" t="e">
        <f>#REF!</f>
        <v>#REF!</v>
      </c>
      <c r="J74" s="56" t="e">
        <f>I74-H74</f>
        <v>#REF!</v>
      </c>
      <c r="K74" s="58" t="e">
        <f>#REF!+K75</f>
        <v>#REF!</v>
      </c>
      <c r="L74" s="58" t="e">
        <f>#REF!+L75</f>
        <v>#REF!</v>
      </c>
      <c r="M74" s="58">
        <f aca="true" t="shared" si="22" ref="M74:O76">M75</f>
        <v>10</v>
      </c>
      <c r="N74" s="217">
        <f t="shared" si="22"/>
        <v>0</v>
      </c>
      <c r="O74" s="217">
        <f t="shared" si="22"/>
        <v>0</v>
      </c>
      <c r="P74" s="261"/>
    </row>
    <row r="75" spans="1:33" s="23" customFormat="1" ht="46.5" customHeight="1">
      <c r="A75" s="6" t="s">
        <v>365</v>
      </c>
      <c r="B75" s="12" t="s">
        <v>164</v>
      </c>
      <c r="C75" s="12" t="s">
        <v>141</v>
      </c>
      <c r="D75" s="12" t="s">
        <v>189</v>
      </c>
      <c r="E75" s="12" t="s">
        <v>271</v>
      </c>
      <c r="F75" s="13"/>
      <c r="G75" s="34"/>
      <c r="H75" s="58"/>
      <c r="I75" s="58"/>
      <c r="J75" s="56"/>
      <c r="K75" s="58">
        <f>K76</f>
        <v>150</v>
      </c>
      <c r="L75" s="58">
        <f>L76</f>
        <v>150</v>
      </c>
      <c r="M75" s="58">
        <f t="shared" si="22"/>
        <v>10</v>
      </c>
      <c r="N75" s="217">
        <f t="shared" si="22"/>
        <v>0</v>
      </c>
      <c r="O75" s="217">
        <f t="shared" si="22"/>
        <v>0</v>
      </c>
      <c r="P75" s="261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1:33" s="23" customFormat="1" ht="25.5">
      <c r="A76" s="5" t="s">
        <v>97</v>
      </c>
      <c r="B76" s="12" t="s">
        <v>164</v>
      </c>
      <c r="C76" s="12" t="s">
        <v>141</v>
      </c>
      <c r="D76" s="12" t="s">
        <v>189</v>
      </c>
      <c r="E76" s="12" t="s">
        <v>271</v>
      </c>
      <c r="F76" s="13" t="s">
        <v>323</v>
      </c>
      <c r="G76" s="34"/>
      <c r="H76" s="58"/>
      <c r="I76" s="58"/>
      <c r="J76" s="56"/>
      <c r="K76" s="58">
        <f>K77</f>
        <v>150</v>
      </c>
      <c r="L76" s="58">
        <f>L77</f>
        <v>150</v>
      </c>
      <c r="M76" s="58">
        <f t="shared" si="22"/>
        <v>10</v>
      </c>
      <c r="N76" s="217">
        <f t="shared" si="22"/>
        <v>0</v>
      </c>
      <c r="O76" s="217">
        <f t="shared" si="22"/>
        <v>0</v>
      </c>
      <c r="P76" s="261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1:33" s="23" customFormat="1" ht="14.25">
      <c r="A77" s="5" t="s">
        <v>209</v>
      </c>
      <c r="B77" s="12" t="s">
        <v>164</v>
      </c>
      <c r="C77" s="12" t="s">
        <v>141</v>
      </c>
      <c r="D77" s="12" t="s">
        <v>189</v>
      </c>
      <c r="E77" s="12" t="s">
        <v>271</v>
      </c>
      <c r="F77" s="13" t="s">
        <v>323</v>
      </c>
      <c r="G77" s="34">
        <v>3</v>
      </c>
      <c r="H77" s="58"/>
      <c r="I77" s="58"/>
      <c r="J77" s="56"/>
      <c r="K77" s="58">
        <v>150</v>
      </c>
      <c r="L77" s="58">
        <v>150</v>
      </c>
      <c r="M77" s="58">
        <f>50-40</f>
        <v>10</v>
      </c>
      <c r="N77" s="217"/>
      <c r="O77" s="217"/>
      <c r="P77" s="261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</row>
    <row r="78" spans="1:16" ht="14.25">
      <c r="A78" s="3" t="s">
        <v>35</v>
      </c>
      <c r="B78" s="13" t="s">
        <v>164</v>
      </c>
      <c r="C78" s="10" t="s">
        <v>142</v>
      </c>
      <c r="D78" s="10">
        <v>0</v>
      </c>
      <c r="E78" s="10">
        <v>0</v>
      </c>
      <c r="F78" s="16"/>
      <c r="G78" s="34"/>
      <c r="H78" s="56" t="e">
        <f>#REF!+H84+#REF!</f>
        <v>#REF!</v>
      </c>
      <c r="I78" s="56" t="e">
        <f>#REF!+I84+#REF!</f>
        <v>#REF!</v>
      </c>
      <c r="J78" s="56" t="e">
        <f aca="true" t="shared" si="23" ref="J78:J141">I78-H78</f>
        <v>#REF!</v>
      </c>
      <c r="K78" s="56" t="e">
        <f>#REF!+K84+#REF!</f>
        <v>#REF!</v>
      </c>
      <c r="L78" s="56" t="e">
        <f>#REF!+L84+#REF!</f>
        <v>#REF!</v>
      </c>
      <c r="M78" s="56" t="e">
        <f>#REF!+M84+M90+#REF!</f>
        <v>#REF!</v>
      </c>
      <c r="N78" s="208">
        <f>N79+N84+N90</f>
        <v>13379.779</v>
      </c>
      <c r="O78" s="208">
        <f>O79+O84+O90</f>
        <v>13334.697579999998</v>
      </c>
      <c r="P78" s="261">
        <f aca="true" t="shared" si="24" ref="P78:P139">O78/N78*100</f>
        <v>99.66306304461379</v>
      </c>
    </row>
    <row r="79" spans="1:16" ht="15" customHeight="1">
      <c r="A79" s="4" t="s">
        <v>15</v>
      </c>
      <c r="B79" s="13" t="s">
        <v>22</v>
      </c>
      <c r="C79" s="11" t="s">
        <v>142</v>
      </c>
      <c r="D79" s="11" t="s">
        <v>191</v>
      </c>
      <c r="E79" s="11">
        <v>0</v>
      </c>
      <c r="F79" s="16"/>
      <c r="G79" s="34"/>
      <c r="H79" s="56" t="e">
        <f>#REF!</f>
        <v>#REF!</v>
      </c>
      <c r="I79" s="56" t="e">
        <f>#REF!</f>
        <v>#REF!</v>
      </c>
      <c r="J79" s="56" t="e">
        <f t="shared" si="23"/>
        <v>#REF!</v>
      </c>
      <c r="K79" s="56" t="e">
        <f>#REF!</f>
        <v>#REF!</v>
      </c>
      <c r="L79" s="56" t="e">
        <f>#REF!</f>
        <v>#REF!</v>
      </c>
      <c r="M79" s="56" t="e">
        <f>#REF!</f>
        <v>#REF!</v>
      </c>
      <c r="N79" s="207">
        <f aca="true" t="shared" si="25" ref="N79:O82">N80</f>
        <v>0</v>
      </c>
      <c r="O79" s="207">
        <f t="shared" si="25"/>
        <v>0</v>
      </c>
      <c r="P79" s="261"/>
    </row>
    <row r="80" spans="1:16" ht="27" customHeight="1">
      <c r="A80" s="6" t="s">
        <v>221</v>
      </c>
      <c r="B80" s="13" t="s">
        <v>164</v>
      </c>
      <c r="C80" s="11" t="s">
        <v>142</v>
      </c>
      <c r="D80" s="11" t="s">
        <v>191</v>
      </c>
      <c r="E80" s="37" t="s">
        <v>156</v>
      </c>
      <c r="F80" s="16"/>
      <c r="G80" s="34"/>
      <c r="H80" s="56" t="e">
        <f>#REF!</f>
        <v>#REF!</v>
      </c>
      <c r="I80" s="56" t="e">
        <f>#REF!</f>
        <v>#REF!</v>
      </c>
      <c r="J80" s="56" t="e">
        <f t="shared" si="23"/>
        <v>#REF!</v>
      </c>
      <c r="K80" s="56" t="e">
        <f>#REF!</f>
        <v>#REF!</v>
      </c>
      <c r="L80" s="56" t="e">
        <f>#REF!</f>
        <v>#REF!</v>
      </c>
      <c r="M80" s="56" t="e">
        <f>#REF!</f>
        <v>#REF!</v>
      </c>
      <c r="N80" s="207">
        <f t="shared" si="25"/>
        <v>0</v>
      </c>
      <c r="O80" s="207">
        <f t="shared" si="25"/>
        <v>0</v>
      </c>
      <c r="P80" s="261"/>
    </row>
    <row r="81" spans="1:16" ht="53.25" customHeight="1">
      <c r="A81" s="105" t="s">
        <v>390</v>
      </c>
      <c r="B81" s="13" t="s">
        <v>164</v>
      </c>
      <c r="C81" s="11" t="s">
        <v>142</v>
      </c>
      <c r="D81" s="11" t="s">
        <v>191</v>
      </c>
      <c r="E81" s="37" t="s">
        <v>407</v>
      </c>
      <c r="F81" s="16"/>
      <c r="G81" s="34"/>
      <c r="H81" s="56" t="e">
        <f>#REF!</f>
        <v>#REF!</v>
      </c>
      <c r="I81" s="56" t="e">
        <f>#REF!</f>
        <v>#REF!</v>
      </c>
      <c r="J81" s="56" t="e">
        <f t="shared" si="23"/>
        <v>#REF!</v>
      </c>
      <c r="K81" s="56" t="e">
        <f>#REF!</f>
        <v>#REF!</v>
      </c>
      <c r="L81" s="56" t="e">
        <f>#REF!</f>
        <v>#REF!</v>
      </c>
      <c r="M81" s="56" t="e">
        <f>#REF!</f>
        <v>#REF!</v>
      </c>
      <c r="N81" s="207">
        <f t="shared" si="25"/>
        <v>0</v>
      </c>
      <c r="O81" s="207">
        <f t="shared" si="25"/>
        <v>0</v>
      </c>
      <c r="P81" s="261"/>
    </row>
    <row r="82" spans="1:16" ht="26.25" customHeight="1">
      <c r="A82" s="6" t="s">
        <v>97</v>
      </c>
      <c r="B82" s="13" t="s">
        <v>164</v>
      </c>
      <c r="C82" s="11" t="s">
        <v>142</v>
      </c>
      <c r="D82" s="11" t="s">
        <v>191</v>
      </c>
      <c r="E82" s="13" t="s">
        <v>407</v>
      </c>
      <c r="F82" s="13" t="s">
        <v>323</v>
      </c>
      <c r="G82" s="34"/>
      <c r="H82" s="56" t="e">
        <f>#REF!</f>
        <v>#REF!</v>
      </c>
      <c r="I82" s="56" t="e">
        <f>#REF!</f>
        <v>#REF!</v>
      </c>
      <c r="J82" s="56" t="e">
        <f>I82-H82</f>
        <v>#REF!</v>
      </c>
      <c r="K82" s="56" t="e">
        <f>#REF!</f>
        <v>#REF!</v>
      </c>
      <c r="L82" s="56" t="e">
        <f>#REF!</f>
        <v>#REF!</v>
      </c>
      <c r="M82" s="56" t="e">
        <f>#REF!</f>
        <v>#REF!</v>
      </c>
      <c r="N82" s="208">
        <f t="shared" si="25"/>
        <v>0</v>
      </c>
      <c r="O82" s="208">
        <f t="shared" si="25"/>
        <v>0</v>
      </c>
      <c r="P82" s="261"/>
    </row>
    <row r="83" spans="1:16" ht="18" customHeight="1">
      <c r="A83" s="5" t="s">
        <v>209</v>
      </c>
      <c r="B83" s="13" t="s">
        <v>164</v>
      </c>
      <c r="C83" s="11" t="s">
        <v>142</v>
      </c>
      <c r="D83" s="11" t="s">
        <v>191</v>
      </c>
      <c r="E83" s="13" t="s">
        <v>407</v>
      </c>
      <c r="F83" s="13" t="s">
        <v>323</v>
      </c>
      <c r="G83" s="34">
        <v>3</v>
      </c>
      <c r="H83" s="56" t="e">
        <f>#REF!</f>
        <v>#REF!</v>
      </c>
      <c r="I83" s="56" t="e">
        <f>#REF!</f>
        <v>#REF!</v>
      </c>
      <c r="J83" s="56" t="e">
        <f t="shared" si="23"/>
        <v>#REF!</v>
      </c>
      <c r="K83" s="56" t="e">
        <f>#REF!</f>
        <v>#REF!</v>
      </c>
      <c r="L83" s="56" t="e">
        <f>#REF!</f>
        <v>#REF!</v>
      </c>
      <c r="M83" s="56" t="e">
        <f>#REF!</f>
        <v>#REF!</v>
      </c>
      <c r="N83" s="208">
        <f>500-400-50-50</f>
        <v>0</v>
      </c>
      <c r="O83" s="208">
        <f>500-400-50-50</f>
        <v>0</v>
      </c>
      <c r="P83" s="261"/>
    </row>
    <row r="84" spans="1:16" ht="14.25">
      <c r="A84" s="4" t="s">
        <v>223</v>
      </c>
      <c r="B84" s="13" t="s">
        <v>164</v>
      </c>
      <c r="C84" s="11" t="s">
        <v>142</v>
      </c>
      <c r="D84" s="11" t="s">
        <v>222</v>
      </c>
      <c r="E84" s="11"/>
      <c r="F84" s="16"/>
      <c r="G84" s="34"/>
      <c r="H84" s="55">
        <f aca="true" t="shared" si="26" ref="H84:I87">H85</f>
        <v>1920</v>
      </c>
      <c r="I84" s="55">
        <f t="shared" si="26"/>
        <v>1920</v>
      </c>
      <c r="J84" s="56">
        <f t="shared" si="23"/>
        <v>0</v>
      </c>
      <c r="K84" s="55">
        <f aca="true" t="shared" si="27" ref="K84:L87">K85</f>
        <v>1920</v>
      </c>
      <c r="L84" s="55">
        <f t="shared" si="27"/>
        <v>1920</v>
      </c>
      <c r="M84" s="55">
        <f aca="true" t="shared" si="28" ref="M84:O87">M85</f>
        <v>2100</v>
      </c>
      <c r="N84" s="207">
        <f t="shared" si="28"/>
        <v>2399</v>
      </c>
      <c r="O84" s="207">
        <f t="shared" si="28"/>
        <v>2434.55863</v>
      </c>
      <c r="P84" s="261">
        <f t="shared" si="24"/>
        <v>101.48222717799082</v>
      </c>
    </row>
    <row r="85" spans="1:16" ht="14.25">
      <c r="A85" s="5" t="s">
        <v>227</v>
      </c>
      <c r="B85" s="13" t="s">
        <v>164</v>
      </c>
      <c r="C85" s="11" t="s">
        <v>142</v>
      </c>
      <c r="D85" s="11" t="s">
        <v>222</v>
      </c>
      <c r="E85" s="12" t="s">
        <v>224</v>
      </c>
      <c r="F85" s="16"/>
      <c r="G85" s="34"/>
      <c r="H85" s="55">
        <f t="shared" si="26"/>
        <v>1920</v>
      </c>
      <c r="I85" s="55">
        <f t="shared" si="26"/>
        <v>1920</v>
      </c>
      <c r="J85" s="56">
        <f t="shared" si="23"/>
        <v>0</v>
      </c>
      <c r="K85" s="55">
        <f t="shared" si="27"/>
        <v>1920</v>
      </c>
      <c r="L85" s="55">
        <f t="shared" si="27"/>
        <v>1920</v>
      </c>
      <c r="M85" s="55">
        <f t="shared" si="28"/>
        <v>2100</v>
      </c>
      <c r="N85" s="207">
        <f t="shared" si="28"/>
        <v>2399</v>
      </c>
      <c r="O85" s="207">
        <f t="shared" si="28"/>
        <v>2434.55863</v>
      </c>
      <c r="P85" s="261">
        <f t="shared" si="24"/>
        <v>101.48222717799082</v>
      </c>
    </row>
    <row r="86" spans="1:16" ht="25.5">
      <c r="A86" s="5" t="s">
        <v>226</v>
      </c>
      <c r="B86" s="13" t="s">
        <v>164</v>
      </c>
      <c r="C86" s="11" t="s">
        <v>142</v>
      </c>
      <c r="D86" s="11" t="s">
        <v>222</v>
      </c>
      <c r="E86" s="12" t="s">
        <v>225</v>
      </c>
      <c r="F86" s="16"/>
      <c r="G86" s="34"/>
      <c r="H86" s="55">
        <f t="shared" si="26"/>
        <v>1920</v>
      </c>
      <c r="I86" s="55">
        <f t="shared" si="26"/>
        <v>1920</v>
      </c>
      <c r="J86" s="56">
        <f t="shared" si="23"/>
        <v>0</v>
      </c>
      <c r="K86" s="55">
        <f t="shared" si="27"/>
        <v>1920</v>
      </c>
      <c r="L86" s="55">
        <f t="shared" si="27"/>
        <v>1920</v>
      </c>
      <c r="M86" s="55">
        <f t="shared" si="28"/>
        <v>2100</v>
      </c>
      <c r="N86" s="207">
        <f t="shared" si="28"/>
        <v>2399</v>
      </c>
      <c r="O86" s="207">
        <f t="shared" si="28"/>
        <v>2434.55863</v>
      </c>
      <c r="P86" s="261">
        <f t="shared" si="24"/>
        <v>101.48222717799082</v>
      </c>
    </row>
    <row r="87" spans="1:16" ht="25.5">
      <c r="A87" s="6" t="s">
        <v>97</v>
      </c>
      <c r="B87" s="13" t="s">
        <v>164</v>
      </c>
      <c r="C87" s="11" t="s">
        <v>142</v>
      </c>
      <c r="D87" s="11" t="s">
        <v>222</v>
      </c>
      <c r="E87" s="12" t="s">
        <v>225</v>
      </c>
      <c r="F87" s="13" t="s">
        <v>323</v>
      </c>
      <c r="G87" s="34"/>
      <c r="H87" s="55">
        <f t="shared" si="26"/>
        <v>1920</v>
      </c>
      <c r="I87" s="55">
        <f t="shared" si="26"/>
        <v>1920</v>
      </c>
      <c r="J87" s="56">
        <f t="shared" si="23"/>
        <v>0</v>
      </c>
      <c r="K87" s="55">
        <f t="shared" si="27"/>
        <v>1920</v>
      </c>
      <c r="L87" s="55">
        <f t="shared" si="27"/>
        <v>1920</v>
      </c>
      <c r="M87" s="55">
        <f t="shared" si="28"/>
        <v>2100</v>
      </c>
      <c r="N87" s="207">
        <f>N88+N89</f>
        <v>2399</v>
      </c>
      <c r="O87" s="207">
        <f>O88+O89</f>
        <v>2434.55863</v>
      </c>
      <c r="P87" s="261">
        <f t="shared" si="24"/>
        <v>101.48222717799082</v>
      </c>
    </row>
    <row r="88" spans="1:33" s="23" customFormat="1" ht="14.25">
      <c r="A88" s="5" t="s">
        <v>209</v>
      </c>
      <c r="B88" s="13" t="s">
        <v>164</v>
      </c>
      <c r="C88" s="11" t="s">
        <v>142</v>
      </c>
      <c r="D88" s="11" t="s">
        <v>222</v>
      </c>
      <c r="E88" s="12" t="s">
        <v>225</v>
      </c>
      <c r="F88" s="13" t="s">
        <v>323</v>
      </c>
      <c r="G88" s="34">
        <v>3</v>
      </c>
      <c r="H88" s="56">
        <v>1920</v>
      </c>
      <c r="I88" s="56">
        <v>1920</v>
      </c>
      <c r="J88" s="56">
        <f t="shared" si="23"/>
        <v>0</v>
      </c>
      <c r="K88" s="56">
        <v>1920</v>
      </c>
      <c r="L88" s="56">
        <v>1920</v>
      </c>
      <c r="M88" s="56">
        <v>2100</v>
      </c>
      <c r="N88" s="208">
        <f>2348+89.6-89.6-3</f>
        <v>2345</v>
      </c>
      <c r="O88" s="208">
        <v>2344.91878</v>
      </c>
      <c r="P88" s="261">
        <f t="shared" si="24"/>
        <v>99.99653646055438</v>
      </c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</row>
    <row r="89" spans="1:16" s="23" customFormat="1" ht="25.5">
      <c r="A89" s="200" t="s">
        <v>361</v>
      </c>
      <c r="B89" s="101" t="s">
        <v>164</v>
      </c>
      <c r="C89" s="201" t="s">
        <v>142</v>
      </c>
      <c r="D89" s="201" t="s">
        <v>222</v>
      </c>
      <c r="E89" s="185" t="s">
        <v>225</v>
      </c>
      <c r="F89" s="101" t="s">
        <v>323</v>
      </c>
      <c r="G89" s="187">
        <v>4</v>
      </c>
      <c r="H89" s="184"/>
      <c r="I89" s="184"/>
      <c r="J89" s="184"/>
      <c r="K89" s="184"/>
      <c r="L89" s="184"/>
      <c r="M89" s="184"/>
      <c r="N89" s="219">
        <v>54</v>
      </c>
      <c r="O89" s="219">
        <v>89.63985</v>
      </c>
      <c r="P89" s="261">
        <f t="shared" si="24"/>
        <v>165.9997222222222</v>
      </c>
    </row>
    <row r="90" spans="1:33" s="23" customFormat="1" ht="14.25">
      <c r="A90" s="4" t="s">
        <v>299</v>
      </c>
      <c r="B90" s="13" t="s">
        <v>164</v>
      </c>
      <c r="C90" s="11" t="s">
        <v>142</v>
      </c>
      <c r="D90" s="11" t="s">
        <v>298</v>
      </c>
      <c r="E90" s="12"/>
      <c r="F90" s="13"/>
      <c r="G90" s="34"/>
      <c r="H90" s="56"/>
      <c r="I90" s="56"/>
      <c r="J90" s="56"/>
      <c r="K90" s="56"/>
      <c r="L90" s="56"/>
      <c r="M90" s="55">
        <f>M98+M91</f>
        <v>700</v>
      </c>
      <c r="N90" s="207">
        <f>N98+N91+N108</f>
        <v>10980.779</v>
      </c>
      <c r="O90" s="207">
        <f>O98+O91+O108</f>
        <v>10900.138949999999</v>
      </c>
      <c r="P90" s="261">
        <f t="shared" si="24"/>
        <v>99.26562541692168</v>
      </c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</row>
    <row r="91" spans="1:33" s="23" customFormat="1" ht="25.5">
      <c r="A91" s="105" t="s">
        <v>290</v>
      </c>
      <c r="B91" s="13" t="s">
        <v>164</v>
      </c>
      <c r="C91" s="11" t="s">
        <v>142</v>
      </c>
      <c r="D91" s="11" t="s">
        <v>298</v>
      </c>
      <c r="E91" s="37" t="s">
        <v>291</v>
      </c>
      <c r="F91" s="13"/>
      <c r="G91" s="34"/>
      <c r="H91" s="56"/>
      <c r="I91" s="56"/>
      <c r="J91" s="56"/>
      <c r="K91" s="56"/>
      <c r="L91" s="56"/>
      <c r="M91" s="56">
        <f aca="true" t="shared" si="29" ref="M91:O92">M92</f>
        <v>0</v>
      </c>
      <c r="N91" s="208">
        <f t="shared" si="29"/>
        <v>625.016</v>
      </c>
      <c r="O91" s="208">
        <f t="shared" si="29"/>
        <v>625.01555</v>
      </c>
      <c r="P91" s="261">
        <f t="shared" si="24"/>
        <v>99.99992800184316</v>
      </c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</row>
    <row r="92" spans="1:33" s="23" customFormat="1" ht="38.25">
      <c r="A92" s="105" t="s">
        <v>379</v>
      </c>
      <c r="B92" s="13" t="s">
        <v>164</v>
      </c>
      <c r="C92" s="11" t="s">
        <v>142</v>
      </c>
      <c r="D92" s="11" t="s">
        <v>298</v>
      </c>
      <c r="E92" s="37" t="s">
        <v>378</v>
      </c>
      <c r="F92" s="13"/>
      <c r="G92" s="34"/>
      <c r="H92" s="56"/>
      <c r="I92" s="56"/>
      <c r="J92" s="56"/>
      <c r="K92" s="56"/>
      <c r="L92" s="56"/>
      <c r="M92" s="56">
        <f t="shared" si="29"/>
        <v>0</v>
      </c>
      <c r="N92" s="208">
        <f t="shared" si="29"/>
        <v>625.016</v>
      </c>
      <c r="O92" s="208">
        <f t="shared" si="29"/>
        <v>625.01555</v>
      </c>
      <c r="P92" s="261">
        <f t="shared" si="24"/>
        <v>99.99992800184316</v>
      </c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</row>
    <row r="93" spans="1:33" s="23" customFormat="1" ht="14.25">
      <c r="A93" s="6" t="s">
        <v>339</v>
      </c>
      <c r="B93" s="13" t="s">
        <v>164</v>
      </c>
      <c r="C93" s="11" t="s">
        <v>142</v>
      </c>
      <c r="D93" s="11" t="s">
        <v>298</v>
      </c>
      <c r="E93" s="37" t="s">
        <v>378</v>
      </c>
      <c r="F93" s="13" t="s">
        <v>20</v>
      </c>
      <c r="G93" s="34"/>
      <c r="H93" s="56"/>
      <c r="I93" s="56"/>
      <c r="J93" s="56"/>
      <c r="K93" s="56"/>
      <c r="L93" s="56"/>
      <c r="M93" s="56">
        <f>M94+M95+M96</f>
        <v>0</v>
      </c>
      <c r="N93" s="208">
        <f>N94+N95+N96+N97</f>
        <v>625.016</v>
      </c>
      <c r="O93" s="208">
        <f>O94+O95+O96+O97</f>
        <v>625.01555</v>
      </c>
      <c r="P93" s="261">
        <f t="shared" si="24"/>
        <v>99.99992800184316</v>
      </c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</row>
    <row r="94" spans="1:33" s="23" customFormat="1" ht="14.25">
      <c r="A94" s="6" t="s">
        <v>210</v>
      </c>
      <c r="B94" s="13" t="s">
        <v>164</v>
      </c>
      <c r="C94" s="11" t="s">
        <v>142</v>
      </c>
      <c r="D94" s="11" t="s">
        <v>298</v>
      </c>
      <c r="E94" s="37" t="s">
        <v>378</v>
      </c>
      <c r="F94" s="13" t="s">
        <v>20</v>
      </c>
      <c r="G94" s="34">
        <v>1</v>
      </c>
      <c r="H94" s="56"/>
      <c r="I94" s="56"/>
      <c r="J94" s="56"/>
      <c r="K94" s="56"/>
      <c r="L94" s="56"/>
      <c r="M94" s="56"/>
      <c r="N94" s="208"/>
      <c r="O94" s="208"/>
      <c r="P94" s="261" t="e">
        <f t="shared" si="24"/>
        <v>#DIV/0!</v>
      </c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</row>
    <row r="95" spans="1:33" s="23" customFormat="1" ht="14.25">
      <c r="A95" s="6" t="s">
        <v>211</v>
      </c>
      <c r="B95" s="13" t="s">
        <v>164</v>
      </c>
      <c r="C95" s="11" t="s">
        <v>142</v>
      </c>
      <c r="D95" s="11" t="s">
        <v>298</v>
      </c>
      <c r="E95" s="37" t="s">
        <v>378</v>
      </c>
      <c r="F95" s="13" t="s">
        <v>20</v>
      </c>
      <c r="G95" s="34">
        <v>2</v>
      </c>
      <c r="H95" s="56"/>
      <c r="I95" s="56"/>
      <c r="J95" s="56"/>
      <c r="K95" s="56"/>
      <c r="L95" s="56"/>
      <c r="M95" s="56"/>
      <c r="N95" s="208"/>
      <c r="O95" s="208"/>
      <c r="P95" s="261" t="e">
        <f t="shared" si="24"/>
        <v>#DIV/0!</v>
      </c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</row>
    <row r="96" spans="1:33" s="23" customFormat="1" ht="14.25">
      <c r="A96" s="6" t="s">
        <v>209</v>
      </c>
      <c r="B96" s="13" t="s">
        <v>164</v>
      </c>
      <c r="C96" s="11" t="s">
        <v>142</v>
      </c>
      <c r="D96" s="11" t="s">
        <v>298</v>
      </c>
      <c r="E96" s="37" t="s">
        <v>378</v>
      </c>
      <c r="F96" s="13" t="s">
        <v>20</v>
      </c>
      <c r="G96" s="34">
        <v>3</v>
      </c>
      <c r="H96" s="56"/>
      <c r="I96" s="56"/>
      <c r="J96" s="56"/>
      <c r="K96" s="56"/>
      <c r="L96" s="56"/>
      <c r="M96" s="56"/>
      <c r="N96" s="208">
        <v>170.169</v>
      </c>
      <c r="O96" s="208">
        <v>170.16855</v>
      </c>
      <c r="P96" s="261">
        <f t="shared" si="24"/>
        <v>99.9997355570051</v>
      </c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</row>
    <row r="97" spans="1:33" s="23" customFormat="1" ht="25.5">
      <c r="A97" s="51" t="s">
        <v>361</v>
      </c>
      <c r="B97" s="13" t="s">
        <v>164</v>
      </c>
      <c r="C97" s="11" t="s">
        <v>142</v>
      </c>
      <c r="D97" s="11" t="s">
        <v>298</v>
      </c>
      <c r="E97" s="37" t="s">
        <v>378</v>
      </c>
      <c r="F97" s="13" t="s">
        <v>20</v>
      </c>
      <c r="G97" s="34">
        <v>4</v>
      </c>
      <c r="H97" s="56"/>
      <c r="I97" s="56"/>
      <c r="J97" s="56"/>
      <c r="K97" s="56"/>
      <c r="L97" s="56"/>
      <c r="M97" s="56"/>
      <c r="N97" s="207">
        <v>454.847</v>
      </c>
      <c r="O97" s="207">
        <v>454.847</v>
      </c>
      <c r="P97" s="261">
        <f t="shared" si="24"/>
        <v>100</v>
      </c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</row>
    <row r="98" spans="1:33" s="23" customFormat="1" ht="14.25">
      <c r="A98" s="105" t="s">
        <v>300</v>
      </c>
      <c r="B98" s="13" t="s">
        <v>164</v>
      </c>
      <c r="C98" s="11" t="s">
        <v>142</v>
      </c>
      <c r="D98" s="11" t="s">
        <v>298</v>
      </c>
      <c r="E98" s="37" t="s">
        <v>301</v>
      </c>
      <c r="F98" s="13"/>
      <c r="G98" s="34"/>
      <c r="H98" s="56"/>
      <c r="I98" s="56"/>
      <c r="J98" s="56"/>
      <c r="K98" s="56"/>
      <c r="L98" s="56"/>
      <c r="M98" s="55">
        <f>M105+M99</f>
        <v>700</v>
      </c>
      <c r="N98" s="207">
        <f>N105+N99</f>
        <v>10014.155</v>
      </c>
      <c r="O98" s="207">
        <f>O105+O99</f>
        <v>9933.5163</v>
      </c>
      <c r="P98" s="261">
        <f t="shared" si="24"/>
        <v>99.19475282737284</v>
      </c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:33" s="23" customFormat="1" ht="14.25">
      <c r="A99" s="105" t="s">
        <v>385</v>
      </c>
      <c r="B99" s="13" t="s">
        <v>164</v>
      </c>
      <c r="C99" s="11" t="s">
        <v>142</v>
      </c>
      <c r="D99" s="11" t="s">
        <v>298</v>
      </c>
      <c r="E99" s="37" t="s">
        <v>384</v>
      </c>
      <c r="F99" s="13"/>
      <c r="G99" s="34"/>
      <c r="H99" s="56"/>
      <c r="I99" s="56"/>
      <c r="J99" s="56"/>
      <c r="K99" s="56"/>
      <c r="L99" s="56"/>
      <c r="M99" s="55">
        <f>M100</f>
        <v>0</v>
      </c>
      <c r="N99" s="207">
        <f>N100</f>
        <v>8739.555</v>
      </c>
      <c r="O99" s="207">
        <f>O100</f>
        <v>8658.91663</v>
      </c>
      <c r="P99" s="261">
        <f t="shared" si="24"/>
        <v>99.07731720894255</v>
      </c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</row>
    <row r="100" spans="1:33" s="23" customFormat="1" ht="14.25">
      <c r="A100" s="109" t="s">
        <v>26</v>
      </c>
      <c r="B100" s="13" t="s">
        <v>164</v>
      </c>
      <c r="C100" s="11" t="s">
        <v>142</v>
      </c>
      <c r="D100" s="11" t="s">
        <v>298</v>
      </c>
      <c r="E100" s="37" t="s">
        <v>384</v>
      </c>
      <c r="F100" s="13" t="s">
        <v>23</v>
      </c>
      <c r="G100" s="34"/>
      <c r="H100" s="56"/>
      <c r="I100" s="56"/>
      <c r="J100" s="56"/>
      <c r="K100" s="56"/>
      <c r="L100" s="56"/>
      <c r="M100" s="55">
        <f>M101+M102+M103</f>
        <v>0</v>
      </c>
      <c r="N100" s="207">
        <f>N101+N102+N103+N104</f>
        <v>8739.555</v>
      </c>
      <c r="O100" s="207">
        <f>O101+O102+O103+O104</f>
        <v>8658.91663</v>
      </c>
      <c r="P100" s="261">
        <f t="shared" si="24"/>
        <v>99.07731720894255</v>
      </c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</row>
    <row r="101" spans="1:33" s="23" customFormat="1" ht="14.25">
      <c r="A101" s="6" t="s">
        <v>210</v>
      </c>
      <c r="B101" s="13" t="s">
        <v>164</v>
      </c>
      <c r="C101" s="11" t="s">
        <v>142</v>
      </c>
      <c r="D101" s="11" t="s">
        <v>298</v>
      </c>
      <c r="E101" s="37" t="s">
        <v>384</v>
      </c>
      <c r="F101" s="13" t="s">
        <v>23</v>
      </c>
      <c r="G101" s="34">
        <v>1</v>
      </c>
      <c r="H101" s="56"/>
      <c r="I101" s="56"/>
      <c r="J101" s="56"/>
      <c r="K101" s="56"/>
      <c r="L101" s="56"/>
      <c r="M101" s="55"/>
      <c r="N101" s="207"/>
      <c r="O101" s="207"/>
      <c r="P101" s="261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</row>
    <row r="102" spans="1:33" s="23" customFormat="1" ht="14.25">
      <c r="A102" s="6" t="s">
        <v>211</v>
      </c>
      <c r="B102" s="13" t="s">
        <v>164</v>
      </c>
      <c r="C102" s="11" t="s">
        <v>142</v>
      </c>
      <c r="D102" s="11" t="s">
        <v>298</v>
      </c>
      <c r="E102" s="37" t="s">
        <v>384</v>
      </c>
      <c r="F102" s="13" t="s">
        <v>23</v>
      </c>
      <c r="G102" s="34">
        <v>2</v>
      </c>
      <c r="H102" s="56"/>
      <c r="I102" s="56"/>
      <c r="J102" s="56"/>
      <c r="K102" s="56"/>
      <c r="L102" s="56"/>
      <c r="M102" s="55"/>
      <c r="N102" s="207">
        <v>6735</v>
      </c>
      <c r="O102" s="207">
        <v>6701.084</v>
      </c>
      <c r="P102" s="261">
        <f t="shared" si="24"/>
        <v>99.49642167780253</v>
      </c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</row>
    <row r="103" spans="1:33" s="23" customFormat="1" ht="14.25">
      <c r="A103" s="6" t="s">
        <v>209</v>
      </c>
      <c r="B103" s="13" t="s">
        <v>164</v>
      </c>
      <c r="C103" s="11" t="s">
        <v>142</v>
      </c>
      <c r="D103" s="11" t="s">
        <v>298</v>
      </c>
      <c r="E103" s="37" t="s">
        <v>384</v>
      </c>
      <c r="F103" s="13" t="s">
        <v>23</v>
      </c>
      <c r="G103" s="34">
        <v>3</v>
      </c>
      <c r="H103" s="56"/>
      <c r="I103" s="56"/>
      <c r="J103" s="56"/>
      <c r="K103" s="56"/>
      <c r="L103" s="56"/>
      <c r="M103" s="55"/>
      <c r="N103" s="207">
        <f>770.6+93.6+705-737+536.6+237.7-16.355</f>
        <v>1590.1450000000002</v>
      </c>
      <c r="O103" s="207">
        <v>1590.14463</v>
      </c>
      <c r="P103" s="261">
        <f t="shared" si="24"/>
        <v>99.9999767316817</v>
      </c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</row>
    <row r="104" spans="1:33" s="23" customFormat="1" ht="25.5">
      <c r="A104" s="105" t="s">
        <v>361</v>
      </c>
      <c r="B104" s="13" t="s">
        <v>164</v>
      </c>
      <c r="C104" s="11" t="s">
        <v>142</v>
      </c>
      <c r="D104" s="11" t="s">
        <v>298</v>
      </c>
      <c r="E104" s="37" t="s">
        <v>384</v>
      </c>
      <c r="F104" s="13" t="s">
        <v>23</v>
      </c>
      <c r="G104" s="34">
        <v>4</v>
      </c>
      <c r="H104" s="56"/>
      <c r="I104" s="56"/>
      <c r="J104" s="56"/>
      <c r="K104" s="56"/>
      <c r="L104" s="56"/>
      <c r="M104" s="55"/>
      <c r="N104" s="207">
        <v>414.41</v>
      </c>
      <c r="O104" s="207">
        <v>367.688</v>
      </c>
      <c r="P104" s="261">
        <f t="shared" si="24"/>
        <v>88.72565816461957</v>
      </c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</row>
    <row r="105" spans="1:33" s="23" customFormat="1" ht="25.5">
      <c r="A105" s="105" t="s">
        <v>303</v>
      </c>
      <c r="B105" s="13" t="s">
        <v>164</v>
      </c>
      <c r="C105" s="11" t="s">
        <v>142</v>
      </c>
      <c r="D105" s="11" t="s">
        <v>298</v>
      </c>
      <c r="E105" s="37" t="s">
        <v>302</v>
      </c>
      <c r="F105" s="13"/>
      <c r="G105" s="34"/>
      <c r="H105" s="56"/>
      <c r="I105" s="56"/>
      <c r="J105" s="56"/>
      <c r="K105" s="56"/>
      <c r="L105" s="56"/>
      <c r="M105" s="55">
        <f aca="true" t="shared" si="30" ref="M105:O106">M106</f>
        <v>700</v>
      </c>
      <c r="N105" s="207">
        <f t="shared" si="30"/>
        <v>1274.6</v>
      </c>
      <c r="O105" s="207">
        <f t="shared" si="30"/>
        <v>1274.59967</v>
      </c>
      <c r="P105" s="261">
        <f t="shared" si="24"/>
        <v>99.99997410952457</v>
      </c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</row>
    <row r="106" spans="1:33" s="23" customFormat="1" ht="25.5">
      <c r="A106" s="6" t="s">
        <v>97</v>
      </c>
      <c r="B106" s="13" t="s">
        <v>164</v>
      </c>
      <c r="C106" s="11" t="s">
        <v>142</v>
      </c>
      <c r="D106" s="11" t="s">
        <v>298</v>
      </c>
      <c r="E106" s="37" t="s">
        <v>302</v>
      </c>
      <c r="F106" s="13" t="s">
        <v>323</v>
      </c>
      <c r="G106" s="34"/>
      <c r="H106" s="56"/>
      <c r="I106" s="56"/>
      <c r="J106" s="56"/>
      <c r="K106" s="56"/>
      <c r="L106" s="56"/>
      <c r="M106" s="55">
        <f t="shared" si="30"/>
        <v>700</v>
      </c>
      <c r="N106" s="207">
        <f t="shared" si="30"/>
        <v>1274.6</v>
      </c>
      <c r="O106" s="207">
        <f t="shared" si="30"/>
        <v>1274.59967</v>
      </c>
      <c r="P106" s="261">
        <f t="shared" si="24"/>
        <v>99.99997410952457</v>
      </c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</row>
    <row r="107" spans="1:33" s="23" customFormat="1" ht="14.25">
      <c r="A107" s="107" t="s">
        <v>209</v>
      </c>
      <c r="B107" s="13" t="s">
        <v>164</v>
      </c>
      <c r="C107" s="11" t="s">
        <v>142</v>
      </c>
      <c r="D107" s="11" t="s">
        <v>298</v>
      </c>
      <c r="E107" s="37" t="s">
        <v>302</v>
      </c>
      <c r="F107" s="13" t="s">
        <v>323</v>
      </c>
      <c r="G107" s="34">
        <v>3</v>
      </c>
      <c r="H107" s="56"/>
      <c r="I107" s="56"/>
      <c r="J107" s="56"/>
      <c r="K107" s="56"/>
      <c r="L107" s="56"/>
      <c r="M107" s="56">
        <f>700</f>
        <v>700</v>
      </c>
      <c r="N107" s="208">
        <f>2000-1500+500+300+70.6-96</f>
        <v>1274.6</v>
      </c>
      <c r="O107" s="208">
        <v>1274.59967</v>
      </c>
      <c r="P107" s="261">
        <f t="shared" si="24"/>
        <v>99.99997410952457</v>
      </c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</row>
    <row r="108" spans="1:33" s="23" customFormat="1" ht="25.5">
      <c r="A108" s="6" t="s">
        <v>221</v>
      </c>
      <c r="B108" s="13" t="s">
        <v>164</v>
      </c>
      <c r="C108" s="11" t="s">
        <v>142</v>
      </c>
      <c r="D108" s="11" t="s">
        <v>298</v>
      </c>
      <c r="E108" s="37" t="s">
        <v>156</v>
      </c>
      <c r="F108" s="13"/>
      <c r="G108" s="34"/>
      <c r="H108" s="56"/>
      <c r="I108" s="56"/>
      <c r="J108" s="56"/>
      <c r="K108" s="56"/>
      <c r="L108" s="56"/>
      <c r="M108" s="55" t="e">
        <f>M109+#REF!</f>
        <v>#REF!</v>
      </c>
      <c r="N108" s="207">
        <f aca="true" t="shared" si="31" ref="N108:O110">N109</f>
        <v>341.60799999999995</v>
      </c>
      <c r="O108" s="207">
        <f t="shared" si="31"/>
        <v>341.6071</v>
      </c>
      <c r="P108" s="261">
        <f t="shared" si="24"/>
        <v>99.99973654012788</v>
      </c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</row>
    <row r="109" spans="1:33" s="23" customFormat="1" ht="63.75">
      <c r="A109" s="105" t="s">
        <v>399</v>
      </c>
      <c r="B109" s="13" t="s">
        <v>164</v>
      </c>
      <c r="C109" s="11" t="s">
        <v>142</v>
      </c>
      <c r="D109" s="11" t="s">
        <v>298</v>
      </c>
      <c r="E109" s="37" t="s">
        <v>411</v>
      </c>
      <c r="F109" s="13"/>
      <c r="G109" s="34"/>
      <c r="H109" s="56"/>
      <c r="I109" s="56"/>
      <c r="J109" s="56"/>
      <c r="K109" s="56"/>
      <c r="L109" s="56"/>
      <c r="M109" s="55">
        <f>M110</f>
        <v>700</v>
      </c>
      <c r="N109" s="207">
        <f t="shared" si="31"/>
        <v>341.60799999999995</v>
      </c>
      <c r="O109" s="207">
        <f t="shared" si="31"/>
        <v>341.6071</v>
      </c>
      <c r="P109" s="261">
        <f t="shared" si="24"/>
        <v>99.99973654012788</v>
      </c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</row>
    <row r="110" spans="1:33" s="23" customFormat="1" ht="25.5">
      <c r="A110" s="6" t="s">
        <v>97</v>
      </c>
      <c r="B110" s="13" t="s">
        <v>164</v>
      </c>
      <c r="C110" s="11" t="s">
        <v>142</v>
      </c>
      <c r="D110" s="11" t="s">
        <v>298</v>
      </c>
      <c r="E110" s="37" t="s">
        <v>411</v>
      </c>
      <c r="F110" s="13" t="s">
        <v>323</v>
      </c>
      <c r="G110" s="34"/>
      <c r="H110" s="56"/>
      <c r="I110" s="56"/>
      <c r="J110" s="56"/>
      <c r="K110" s="56"/>
      <c r="L110" s="56"/>
      <c r="M110" s="55">
        <f>M111</f>
        <v>700</v>
      </c>
      <c r="N110" s="207">
        <f t="shared" si="31"/>
        <v>341.60799999999995</v>
      </c>
      <c r="O110" s="207">
        <f t="shared" si="31"/>
        <v>341.6071</v>
      </c>
      <c r="P110" s="261">
        <f t="shared" si="24"/>
        <v>99.99973654012788</v>
      </c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</row>
    <row r="111" spans="1:33" s="23" customFormat="1" ht="14.25">
      <c r="A111" s="5" t="s">
        <v>209</v>
      </c>
      <c r="B111" s="13" t="s">
        <v>164</v>
      </c>
      <c r="C111" s="11" t="s">
        <v>142</v>
      </c>
      <c r="D111" s="11" t="s">
        <v>298</v>
      </c>
      <c r="E111" s="37" t="s">
        <v>411</v>
      </c>
      <c r="F111" s="13" t="s">
        <v>323</v>
      </c>
      <c r="G111" s="34">
        <v>3</v>
      </c>
      <c r="H111" s="56"/>
      <c r="I111" s="56"/>
      <c r="J111" s="56"/>
      <c r="K111" s="56"/>
      <c r="L111" s="56"/>
      <c r="M111" s="56">
        <f>700</f>
        <v>700</v>
      </c>
      <c r="N111" s="208">
        <f>1051-142-170.2-500+146.1-43.292</f>
        <v>341.60799999999995</v>
      </c>
      <c r="O111" s="208">
        <v>341.6071</v>
      </c>
      <c r="P111" s="261">
        <f t="shared" si="24"/>
        <v>99.99973654012788</v>
      </c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</row>
    <row r="112" spans="1:16" s="24" customFormat="1" ht="14.25">
      <c r="A112" s="36" t="s">
        <v>203</v>
      </c>
      <c r="B112" s="43" t="s">
        <v>164</v>
      </c>
      <c r="C112" s="43" t="s">
        <v>143</v>
      </c>
      <c r="D112" s="43"/>
      <c r="E112" s="43"/>
      <c r="F112" s="16"/>
      <c r="G112" s="28"/>
      <c r="H112" s="56" t="e">
        <f>H138+H119+H113</f>
        <v>#REF!</v>
      </c>
      <c r="I112" s="56" t="e">
        <f>I138+I119+I113</f>
        <v>#REF!</v>
      </c>
      <c r="J112" s="56" t="e">
        <f t="shared" si="23"/>
        <v>#REF!</v>
      </c>
      <c r="K112" s="56" t="e">
        <f>K138+K119+K113</f>
        <v>#REF!</v>
      </c>
      <c r="L112" s="56" t="e">
        <f>L138+L119+L113</f>
        <v>#REF!</v>
      </c>
      <c r="M112" s="56" t="e">
        <f>M119+M113</f>
        <v>#REF!</v>
      </c>
      <c r="N112" s="208">
        <f>N119+N113</f>
        <v>15455.920999999998</v>
      </c>
      <c r="O112" s="208">
        <f>O119+O113</f>
        <v>16155.83152</v>
      </c>
      <c r="P112" s="261">
        <f t="shared" si="24"/>
        <v>104.52842971958773</v>
      </c>
    </row>
    <row r="113" spans="1:16" s="24" customFormat="1" ht="14.25">
      <c r="A113" s="36" t="s">
        <v>208</v>
      </c>
      <c r="B113" s="64" t="s">
        <v>164</v>
      </c>
      <c r="C113" s="64" t="s">
        <v>143</v>
      </c>
      <c r="D113" s="64" t="s">
        <v>190</v>
      </c>
      <c r="E113" s="64"/>
      <c r="F113" s="59"/>
      <c r="G113" s="28"/>
      <c r="H113" s="56" t="e">
        <f>#REF!</f>
        <v>#REF!</v>
      </c>
      <c r="I113" s="56" t="e">
        <f>#REF!</f>
        <v>#REF!</v>
      </c>
      <c r="J113" s="56" t="e">
        <f t="shared" si="23"/>
        <v>#REF!</v>
      </c>
      <c r="K113" s="56" t="e">
        <f>#REF!</f>
        <v>#REF!</v>
      </c>
      <c r="L113" s="56" t="e">
        <f>#REF!</f>
        <v>#REF!</v>
      </c>
      <c r="M113" s="56" t="e">
        <f>#REF!+M114+M116</f>
        <v>#REF!</v>
      </c>
      <c r="N113" s="208">
        <f>N114+N116</f>
        <v>0</v>
      </c>
      <c r="O113" s="208">
        <f>O114+O116</f>
        <v>0</v>
      </c>
      <c r="P113" s="261"/>
    </row>
    <row r="114" spans="1:16" ht="105" customHeight="1">
      <c r="A114" s="6" t="s">
        <v>152</v>
      </c>
      <c r="B114" s="12" t="s">
        <v>164</v>
      </c>
      <c r="C114" s="12" t="s">
        <v>143</v>
      </c>
      <c r="D114" s="12" t="s">
        <v>190</v>
      </c>
      <c r="E114" s="12" t="s">
        <v>153</v>
      </c>
      <c r="F114" s="13" t="s">
        <v>154</v>
      </c>
      <c r="G114" s="34"/>
      <c r="H114" s="58">
        <f>H115</f>
        <v>11861.353</v>
      </c>
      <c r="I114" s="58">
        <f>I115</f>
        <v>0</v>
      </c>
      <c r="J114" s="56">
        <f t="shared" si="23"/>
        <v>-11861.353</v>
      </c>
      <c r="K114" s="58">
        <f>K115</f>
        <v>0</v>
      </c>
      <c r="L114" s="58">
        <f>L115</f>
        <v>0</v>
      </c>
      <c r="M114" s="58">
        <f>M115</f>
        <v>0</v>
      </c>
      <c r="N114" s="217">
        <f>N115</f>
        <v>0</v>
      </c>
      <c r="O114" s="217">
        <f>O115</f>
        <v>0</v>
      </c>
      <c r="P114" s="261"/>
    </row>
    <row r="115" spans="1:33" s="69" customFormat="1" ht="18" customHeight="1">
      <c r="A115" s="5" t="s">
        <v>210</v>
      </c>
      <c r="B115" s="12" t="s">
        <v>164</v>
      </c>
      <c r="C115" s="12" t="s">
        <v>143</v>
      </c>
      <c r="D115" s="12" t="s">
        <v>190</v>
      </c>
      <c r="E115" s="12" t="s">
        <v>153</v>
      </c>
      <c r="F115" s="13" t="s">
        <v>154</v>
      </c>
      <c r="G115" s="34">
        <v>1</v>
      </c>
      <c r="H115" s="58">
        <v>11861.353</v>
      </c>
      <c r="I115" s="58"/>
      <c r="J115" s="56">
        <f t="shared" si="23"/>
        <v>-11861.353</v>
      </c>
      <c r="K115" s="58"/>
      <c r="L115" s="58"/>
      <c r="M115" s="58"/>
      <c r="N115" s="217">
        <f>3004.216-3004.216</f>
        <v>0</v>
      </c>
      <c r="O115" s="217">
        <f>3004.216-3004.216</f>
        <v>0</v>
      </c>
      <c r="P115" s="261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</row>
    <row r="116" spans="1:16" ht="104.25" customHeight="1">
      <c r="A116" s="6" t="s">
        <v>152</v>
      </c>
      <c r="B116" s="12" t="s">
        <v>164</v>
      </c>
      <c r="C116" s="12" t="s">
        <v>143</v>
      </c>
      <c r="D116" s="12" t="s">
        <v>190</v>
      </c>
      <c r="E116" s="12" t="s">
        <v>155</v>
      </c>
      <c r="F116" s="13" t="s">
        <v>154</v>
      </c>
      <c r="G116" s="34"/>
      <c r="H116" s="58">
        <f>H117+H118</f>
        <v>871.18</v>
      </c>
      <c r="I116" s="58">
        <f>I118+I117</f>
        <v>50</v>
      </c>
      <c r="J116" s="56">
        <f t="shared" si="23"/>
        <v>-821.18</v>
      </c>
      <c r="K116" s="58">
        <f>K118+K117</f>
        <v>50</v>
      </c>
      <c r="L116" s="58">
        <f>L118+L117</f>
        <v>170.728</v>
      </c>
      <c r="M116" s="58">
        <f>M117+M118</f>
        <v>350.155</v>
      </c>
      <c r="N116" s="217">
        <f>N117+N118</f>
        <v>0</v>
      </c>
      <c r="O116" s="217">
        <f>O117+O118</f>
        <v>0</v>
      </c>
      <c r="P116" s="261"/>
    </row>
    <row r="117" spans="1:33" s="68" customFormat="1" ht="15.75" customHeight="1">
      <c r="A117" s="6" t="s">
        <v>211</v>
      </c>
      <c r="B117" s="12" t="s">
        <v>164</v>
      </c>
      <c r="C117" s="12" t="s">
        <v>143</v>
      </c>
      <c r="D117" s="12" t="s">
        <v>190</v>
      </c>
      <c r="E117" s="12" t="s">
        <v>155</v>
      </c>
      <c r="F117" s="13" t="s">
        <v>154</v>
      </c>
      <c r="G117" s="34">
        <v>2</v>
      </c>
      <c r="H117" s="58">
        <v>793.833</v>
      </c>
      <c r="I117" s="58"/>
      <c r="J117" s="56">
        <f t="shared" si="23"/>
        <v>-793.833</v>
      </c>
      <c r="K117" s="58"/>
      <c r="L117" s="58"/>
      <c r="M117" s="58"/>
      <c r="N117" s="217">
        <f>584.906-584.906</f>
        <v>0</v>
      </c>
      <c r="O117" s="217">
        <f>584.906-584.906</f>
        <v>0</v>
      </c>
      <c r="P117" s="261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</row>
    <row r="118" spans="1:33" s="23" customFormat="1" ht="21" customHeight="1">
      <c r="A118" s="5" t="s">
        <v>209</v>
      </c>
      <c r="B118" s="12" t="s">
        <v>164</v>
      </c>
      <c r="C118" s="12" t="s">
        <v>143</v>
      </c>
      <c r="D118" s="12" t="s">
        <v>190</v>
      </c>
      <c r="E118" s="12" t="s">
        <v>155</v>
      </c>
      <c r="F118" s="13" t="s">
        <v>154</v>
      </c>
      <c r="G118" s="34">
        <v>3</v>
      </c>
      <c r="H118" s="58">
        <v>77.347</v>
      </c>
      <c r="I118" s="58">
        <v>50</v>
      </c>
      <c r="J118" s="56">
        <f t="shared" si="23"/>
        <v>-27.346999999999994</v>
      </c>
      <c r="K118" s="58">
        <v>50</v>
      </c>
      <c r="L118" s="58">
        <f>50+120.728</f>
        <v>170.728</v>
      </c>
      <c r="M118" s="58">
        <f>70-50+330.155</f>
        <v>350.155</v>
      </c>
      <c r="N118" s="217"/>
      <c r="O118" s="217"/>
      <c r="P118" s="261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</row>
    <row r="119" spans="1:16" s="24" customFormat="1" ht="14.25">
      <c r="A119" s="6" t="s">
        <v>207</v>
      </c>
      <c r="B119" s="64" t="s">
        <v>164</v>
      </c>
      <c r="C119" s="64" t="s">
        <v>143</v>
      </c>
      <c r="D119" s="64" t="s">
        <v>206</v>
      </c>
      <c r="E119" s="64"/>
      <c r="F119" s="59"/>
      <c r="G119" s="28"/>
      <c r="H119" s="56" t="e">
        <f>H134+H131+#REF!</f>
        <v>#REF!</v>
      </c>
      <c r="I119" s="56" t="e">
        <f>I134+I131+#REF!+I120</f>
        <v>#REF!</v>
      </c>
      <c r="J119" s="56" t="e">
        <f t="shared" si="23"/>
        <v>#REF!</v>
      </c>
      <c r="K119" s="56" t="e">
        <f>K134+K131+#REF!+K120</f>
        <v>#REF!</v>
      </c>
      <c r="L119" s="56" t="e">
        <f>L134+L131+#REF!+L120</f>
        <v>#REF!</v>
      </c>
      <c r="M119" s="56" t="e">
        <f>M134+M131+#REF!+M120+M138+#REF!</f>
        <v>#REF!</v>
      </c>
      <c r="N119" s="208">
        <f>N134+N131+N120+N138+N125</f>
        <v>15455.920999999998</v>
      </c>
      <c r="O119" s="208">
        <f>O134+O131+O120+O138+O125</f>
        <v>16155.83152</v>
      </c>
      <c r="P119" s="261">
        <f t="shared" si="24"/>
        <v>104.52842971958773</v>
      </c>
    </row>
    <row r="120" spans="1:16" ht="30" customHeight="1">
      <c r="A120" s="6" t="s">
        <v>289</v>
      </c>
      <c r="B120" s="12" t="s">
        <v>164</v>
      </c>
      <c r="C120" s="12" t="s">
        <v>143</v>
      </c>
      <c r="D120" s="12" t="s">
        <v>206</v>
      </c>
      <c r="E120" s="12" t="s">
        <v>197</v>
      </c>
      <c r="F120" s="13"/>
      <c r="G120" s="34"/>
      <c r="H120" s="58">
        <f>H121</f>
        <v>680</v>
      </c>
      <c r="I120" s="58">
        <f>I121</f>
        <v>150</v>
      </c>
      <c r="J120" s="56">
        <f t="shared" si="23"/>
        <v>-530</v>
      </c>
      <c r="K120" s="58">
        <f>K121</f>
        <v>150</v>
      </c>
      <c r="L120" s="58">
        <f>L121</f>
        <v>14.272000000000006</v>
      </c>
      <c r="M120" s="58">
        <f>M121</f>
        <v>0</v>
      </c>
      <c r="N120" s="217">
        <f>N121</f>
        <v>1477.819</v>
      </c>
      <c r="O120" s="217">
        <f>O121</f>
        <v>1477.81851</v>
      </c>
      <c r="P120" s="261">
        <f t="shared" si="24"/>
        <v>99.99996684303018</v>
      </c>
    </row>
    <row r="121" spans="1:16" ht="14.25">
      <c r="A121" s="6" t="s">
        <v>339</v>
      </c>
      <c r="B121" s="12" t="s">
        <v>164</v>
      </c>
      <c r="C121" s="12" t="s">
        <v>143</v>
      </c>
      <c r="D121" s="12" t="s">
        <v>206</v>
      </c>
      <c r="E121" s="12" t="s">
        <v>197</v>
      </c>
      <c r="F121" s="13" t="s">
        <v>20</v>
      </c>
      <c r="G121" s="34"/>
      <c r="H121" s="58">
        <f>H122+H123+H124</f>
        <v>680</v>
      </c>
      <c r="I121" s="58">
        <f>I122+I123+I124</f>
        <v>150</v>
      </c>
      <c r="J121" s="56">
        <f t="shared" si="23"/>
        <v>-530</v>
      </c>
      <c r="K121" s="58">
        <f>K122+K123+K124</f>
        <v>150</v>
      </c>
      <c r="L121" s="58">
        <f>L122+L123+L124</f>
        <v>14.272000000000006</v>
      </c>
      <c r="M121" s="58">
        <f>M122+M123+M124</f>
        <v>0</v>
      </c>
      <c r="N121" s="217">
        <f>N122+N123+N124</f>
        <v>1477.819</v>
      </c>
      <c r="O121" s="217">
        <f>O122+O123+O124</f>
        <v>1477.81851</v>
      </c>
      <c r="P121" s="261">
        <f t="shared" si="24"/>
        <v>99.99996684303018</v>
      </c>
    </row>
    <row r="122" spans="1:16" ht="14.25">
      <c r="A122" s="6" t="s">
        <v>210</v>
      </c>
      <c r="B122" s="12" t="s">
        <v>164</v>
      </c>
      <c r="C122" s="12" t="s">
        <v>143</v>
      </c>
      <c r="D122" s="12" t="s">
        <v>206</v>
      </c>
      <c r="E122" s="12" t="s">
        <v>197</v>
      </c>
      <c r="F122" s="13" t="s">
        <v>20</v>
      </c>
      <c r="G122" s="34">
        <v>1</v>
      </c>
      <c r="H122" s="58"/>
      <c r="I122" s="58"/>
      <c r="J122" s="56">
        <f t="shared" si="23"/>
        <v>0</v>
      </c>
      <c r="K122" s="58"/>
      <c r="L122" s="58"/>
      <c r="M122" s="58"/>
      <c r="N122" s="217"/>
      <c r="O122" s="217"/>
      <c r="P122" s="261"/>
    </row>
    <row r="123" spans="1:16" ht="14.25">
      <c r="A123" s="6" t="s">
        <v>211</v>
      </c>
      <c r="B123" s="12" t="s">
        <v>164</v>
      </c>
      <c r="C123" s="12" t="s">
        <v>143</v>
      </c>
      <c r="D123" s="12" t="s">
        <v>206</v>
      </c>
      <c r="E123" s="12" t="s">
        <v>197</v>
      </c>
      <c r="F123" s="13" t="s">
        <v>20</v>
      </c>
      <c r="G123" s="34">
        <v>2</v>
      </c>
      <c r="H123" s="58"/>
      <c r="I123" s="58"/>
      <c r="J123" s="56">
        <f t="shared" si="23"/>
        <v>0</v>
      </c>
      <c r="K123" s="58"/>
      <c r="L123" s="58"/>
      <c r="M123" s="58"/>
      <c r="N123" s="217"/>
      <c r="O123" s="217"/>
      <c r="P123" s="261"/>
    </row>
    <row r="124" spans="1:33" s="23" customFormat="1" ht="14.25">
      <c r="A124" s="6" t="s">
        <v>209</v>
      </c>
      <c r="B124" s="12" t="s">
        <v>164</v>
      </c>
      <c r="C124" s="12" t="s">
        <v>143</v>
      </c>
      <c r="D124" s="12" t="s">
        <v>206</v>
      </c>
      <c r="E124" s="12" t="s">
        <v>197</v>
      </c>
      <c r="F124" s="13" t="s">
        <v>20</v>
      </c>
      <c r="G124" s="34">
        <v>3</v>
      </c>
      <c r="H124" s="58">
        <v>680</v>
      </c>
      <c r="I124" s="58">
        <v>150</v>
      </c>
      <c r="J124" s="56">
        <f t="shared" si="23"/>
        <v>-530</v>
      </c>
      <c r="K124" s="58">
        <v>150</v>
      </c>
      <c r="L124" s="58">
        <f>150-120.728-15</f>
        <v>14.272000000000006</v>
      </c>
      <c r="M124" s="58">
        <f>2965+150-1115-1000-330.155-519.7-150.145</f>
        <v>0</v>
      </c>
      <c r="N124" s="217">
        <f>1000+1195-763+45.801+0.018</f>
        <v>1477.819</v>
      </c>
      <c r="O124" s="217">
        <v>1477.81851</v>
      </c>
      <c r="P124" s="261">
        <f t="shared" si="24"/>
        <v>99.99996684303018</v>
      </c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1:16" ht="41.25" customHeight="1">
      <c r="A125" s="6" t="s">
        <v>433</v>
      </c>
      <c r="B125" s="12" t="s">
        <v>164</v>
      </c>
      <c r="C125" s="12" t="s">
        <v>143</v>
      </c>
      <c r="D125" s="12" t="s">
        <v>206</v>
      </c>
      <c r="E125" s="37" t="s">
        <v>434</v>
      </c>
      <c r="F125" s="13"/>
      <c r="G125" s="34"/>
      <c r="H125" s="58">
        <f>H126</f>
        <v>680</v>
      </c>
      <c r="I125" s="58">
        <f>I126</f>
        <v>150</v>
      </c>
      <c r="J125" s="56">
        <f>I125-H125</f>
        <v>-530</v>
      </c>
      <c r="K125" s="58">
        <f>K126</f>
        <v>150</v>
      </c>
      <c r="L125" s="58">
        <f>L126</f>
        <v>14.272000000000006</v>
      </c>
      <c r="M125" s="58">
        <f>M126</f>
        <v>0</v>
      </c>
      <c r="N125" s="217">
        <f>N126</f>
        <v>13726.699999999999</v>
      </c>
      <c r="O125" s="217">
        <f>O126</f>
        <v>14426.611499999999</v>
      </c>
      <c r="P125" s="261">
        <f t="shared" si="24"/>
        <v>105.09890578216176</v>
      </c>
    </row>
    <row r="126" spans="1:16" ht="14.25">
      <c r="A126" s="6" t="s">
        <v>339</v>
      </c>
      <c r="B126" s="12" t="s">
        <v>164</v>
      </c>
      <c r="C126" s="12" t="s">
        <v>143</v>
      </c>
      <c r="D126" s="12" t="s">
        <v>206</v>
      </c>
      <c r="E126" s="37" t="s">
        <v>434</v>
      </c>
      <c r="F126" s="13" t="s">
        <v>20</v>
      </c>
      <c r="G126" s="34"/>
      <c r="H126" s="58">
        <f>H127+H128+H129</f>
        <v>680</v>
      </c>
      <c r="I126" s="58">
        <f>I127+I128+I129</f>
        <v>150</v>
      </c>
      <c r="J126" s="56">
        <f>I126-H126</f>
        <v>-530</v>
      </c>
      <c r="K126" s="58">
        <f>K127+K128+K129</f>
        <v>150</v>
      </c>
      <c r="L126" s="58">
        <f>L127+L128+L129</f>
        <v>14.272000000000006</v>
      </c>
      <c r="M126" s="58">
        <f>M127+M128+M129</f>
        <v>0</v>
      </c>
      <c r="N126" s="217">
        <f>N127+N128+N129+N130</f>
        <v>13726.699999999999</v>
      </c>
      <c r="O126" s="217">
        <f>O127+O128+O129+O130</f>
        <v>14426.611499999999</v>
      </c>
      <c r="P126" s="261">
        <f t="shared" si="24"/>
        <v>105.09890578216176</v>
      </c>
    </row>
    <row r="127" spans="1:16" ht="14.25">
      <c r="A127" s="6" t="s">
        <v>210</v>
      </c>
      <c r="B127" s="12" t="s">
        <v>164</v>
      </c>
      <c r="C127" s="12" t="s">
        <v>143</v>
      </c>
      <c r="D127" s="12" t="s">
        <v>206</v>
      </c>
      <c r="E127" s="37" t="s">
        <v>434</v>
      </c>
      <c r="F127" s="13" t="s">
        <v>20</v>
      </c>
      <c r="G127" s="34">
        <v>1</v>
      </c>
      <c r="H127" s="58"/>
      <c r="I127" s="58"/>
      <c r="J127" s="56">
        <f>I127-H127</f>
        <v>0</v>
      </c>
      <c r="K127" s="58"/>
      <c r="L127" s="58"/>
      <c r="M127" s="58"/>
      <c r="N127" s="217">
        <f>2296.4+1422.3</f>
        <v>3718.7</v>
      </c>
      <c r="O127" s="217">
        <f>2296.4+1422.3</f>
        <v>3718.7</v>
      </c>
      <c r="P127" s="261">
        <f t="shared" si="24"/>
        <v>100</v>
      </c>
    </row>
    <row r="128" spans="1:16" ht="14.25">
      <c r="A128" s="6" t="s">
        <v>211</v>
      </c>
      <c r="B128" s="12" t="s">
        <v>164</v>
      </c>
      <c r="C128" s="12" t="s">
        <v>143</v>
      </c>
      <c r="D128" s="12" t="s">
        <v>206</v>
      </c>
      <c r="E128" s="37" t="s">
        <v>434</v>
      </c>
      <c r="F128" s="13" t="s">
        <v>20</v>
      </c>
      <c r="G128" s="34">
        <v>2</v>
      </c>
      <c r="H128" s="58"/>
      <c r="I128" s="58"/>
      <c r="J128" s="56">
        <f>I128-H128</f>
        <v>0</v>
      </c>
      <c r="K128" s="58"/>
      <c r="L128" s="58"/>
      <c r="M128" s="58"/>
      <c r="N128" s="217">
        <f>4918.7+3100.1</f>
        <v>8018.799999999999</v>
      </c>
      <c r="O128" s="217">
        <f>4918.7+3100.1</f>
        <v>8018.799999999999</v>
      </c>
      <c r="P128" s="261">
        <f t="shared" si="24"/>
        <v>100</v>
      </c>
    </row>
    <row r="129" spans="1:33" s="23" customFormat="1" ht="14.25">
      <c r="A129" s="6" t="s">
        <v>209</v>
      </c>
      <c r="B129" s="12" t="s">
        <v>164</v>
      </c>
      <c r="C129" s="12" t="s">
        <v>143</v>
      </c>
      <c r="D129" s="12" t="s">
        <v>206</v>
      </c>
      <c r="E129" s="37" t="s">
        <v>434</v>
      </c>
      <c r="F129" s="13" t="s">
        <v>20</v>
      </c>
      <c r="G129" s="34">
        <v>3</v>
      </c>
      <c r="H129" s="58">
        <v>680</v>
      </c>
      <c r="I129" s="58">
        <v>150</v>
      </c>
      <c r="J129" s="56">
        <f>I129-H129</f>
        <v>-530</v>
      </c>
      <c r="K129" s="58">
        <v>150</v>
      </c>
      <c r="L129" s="58">
        <f>150-120.728-15</f>
        <v>14.272000000000006</v>
      </c>
      <c r="M129" s="58">
        <f>2965+150-1115-1000-330.155-519.7-150.145</f>
        <v>0</v>
      </c>
      <c r="N129" s="217">
        <f>516.7-246.9</f>
        <v>269.80000000000007</v>
      </c>
      <c r="O129" s="217">
        <v>269.7115</v>
      </c>
      <c r="P129" s="261">
        <f t="shared" si="24"/>
        <v>99.9671979243884</v>
      </c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</row>
    <row r="130" spans="1:16" s="23" customFormat="1" ht="25.5">
      <c r="A130" s="200" t="s">
        <v>361</v>
      </c>
      <c r="B130" s="12" t="s">
        <v>164</v>
      </c>
      <c r="C130" s="12" t="s">
        <v>143</v>
      </c>
      <c r="D130" s="12" t="s">
        <v>206</v>
      </c>
      <c r="E130" s="37" t="s">
        <v>434</v>
      </c>
      <c r="F130" s="13" t="s">
        <v>20</v>
      </c>
      <c r="G130" s="187">
        <v>4</v>
      </c>
      <c r="H130" s="184"/>
      <c r="I130" s="184"/>
      <c r="J130" s="184"/>
      <c r="K130" s="184"/>
      <c r="L130" s="184"/>
      <c r="M130" s="184"/>
      <c r="N130" s="219">
        <f>1369.4+250+100</f>
        <v>1719.4</v>
      </c>
      <c r="O130" s="219">
        <v>2419.4</v>
      </c>
      <c r="P130" s="261">
        <f t="shared" si="24"/>
        <v>140.71187623589626</v>
      </c>
    </row>
    <row r="131" spans="1:16" s="24" customFormat="1" ht="57.75" customHeight="1">
      <c r="A131" s="6" t="s">
        <v>288</v>
      </c>
      <c r="B131" s="64" t="s">
        <v>164</v>
      </c>
      <c r="C131" s="64" t="s">
        <v>143</v>
      </c>
      <c r="D131" s="64" t="s">
        <v>206</v>
      </c>
      <c r="E131" s="64" t="s">
        <v>287</v>
      </c>
      <c r="F131" s="59"/>
      <c r="G131" s="28"/>
      <c r="H131" s="56">
        <f>H132</f>
        <v>1022.668</v>
      </c>
      <c r="I131" s="56">
        <f>I132</f>
        <v>3.410605131648481E-13</v>
      </c>
      <c r="J131" s="56">
        <f t="shared" si="23"/>
        <v>-1022.6679999999997</v>
      </c>
      <c r="K131" s="56">
        <f aca="true" t="shared" si="32" ref="K131:O132">K132</f>
        <v>3.410605131648481E-13</v>
      </c>
      <c r="L131" s="56">
        <f t="shared" si="32"/>
        <v>3.410605131648481E-13</v>
      </c>
      <c r="M131" s="56">
        <f t="shared" si="32"/>
        <v>0</v>
      </c>
      <c r="N131" s="208">
        <f t="shared" si="32"/>
        <v>0</v>
      </c>
      <c r="O131" s="208">
        <f t="shared" si="32"/>
        <v>0</v>
      </c>
      <c r="P131" s="261" t="e">
        <f t="shared" si="24"/>
        <v>#DIV/0!</v>
      </c>
    </row>
    <row r="132" spans="1:16" s="24" customFormat="1" ht="14.25">
      <c r="A132" s="6" t="s">
        <v>339</v>
      </c>
      <c r="B132" s="64" t="s">
        <v>164</v>
      </c>
      <c r="C132" s="64" t="s">
        <v>143</v>
      </c>
      <c r="D132" s="64" t="s">
        <v>206</v>
      </c>
      <c r="E132" s="64" t="s">
        <v>287</v>
      </c>
      <c r="F132" s="59" t="s">
        <v>20</v>
      </c>
      <c r="G132" s="28"/>
      <c r="H132" s="56">
        <f>H133</f>
        <v>1022.668</v>
      </c>
      <c r="I132" s="56">
        <f>I133</f>
        <v>3.410605131648481E-13</v>
      </c>
      <c r="J132" s="56">
        <f t="shared" si="23"/>
        <v>-1022.6679999999997</v>
      </c>
      <c r="K132" s="56">
        <f t="shared" si="32"/>
        <v>3.410605131648481E-13</v>
      </c>
      <c r="L132" s="56">
        <f t="shared" si="32"/>
        <v>3.410605131648481E-13</v>
      </c>
      <c r="M132" s="56">
        <f t="shared" si="32"/>
        <v>0</v>
      </c>
      <c r="N132" s="208">
        <f t="shared" si="32"/>
        <v>0</v>
      </c>
      <c r="O132" s="208">
        <f t="shared" si="32"/>
        <v>0</v>
      </c>
      <c r="P132" s="261" t="e">
        <f t="shared" si="24"/>
        <v>#DIV/0!</v>
      </c>
    </row>
    <row r="133" spans="1:16" s="24" customFormat="1" ht="14.25">
      <c r="A133" s="5" t="s">
        <v>209</v>
      </c>
      <c r="B133" s="64" t="s">
        <v>164</v>
      </c>
      <c r="C133" s="64" t="s">
        <v>143</v>
      </c>
      <c r="D133" s="64" t="s">
        <v>206</v>
      </c>
      <c r="E133" s="64" t="s">
        <v>287</v>
      </c>
      <c r="F133" s="59" t="s">
        <v>20</v>
      </c>
      <c r="G133" s="28">
        <v>3</v>
      </c>
      <c r="H133" s="56">
        <v>1022.668</v>
      </c>
      <c r="I133" s="56">
        <f>3832.3-530-1000-400-474.088-350-28.197-27.347-370-480-172.668</f>
        <v>3.410605131648481E-13</v>
      </c>
      <c r="J133" s="56">
        <f t="shared" si="23"/>
        <v>-1022.6679999999997</v>
      </c>
      <c r="K133" s="56">
        <f>3832.3-530-1000-400-474.088-350-28.197-27.347-370-480-172.668</f>
        <v>3.410605131648481E-13</v>
      </c>
      <c r="L133" s="56">
        <f>3832.3-530-1000-400-474.088-350-28.197-27.347-370-480-172.668</f>
        <v>3.410605131648481E-13</v>
      </c>
      <c r="M133" s="56">
        <f>1500-1200+200-138.355-361.645</f>
        <v>0</v>
      </c>
      <c r="N133" s="208"/>
      <c r="O133" s="208"/>
      <c r="P133" s="261" t="e">
        <f t="shared" si="24"/>
        <v>#DIV/0!</v>
      </c>
    </row>
    <row r="134" spans="1:16" s="24" customFormat="1" ht="25.5">
      <c r="A134" s="6" t="s">
        <v>219</v>
      </c>
      <c r="B134" s="64" t="s">
        <v>164</v>
      </c>
      <c r="C134" s="64" t="s">
        <v>143</v>
      </c>
      <c r="D134" s="64" t="s">
        <v>206</v>
      </c>
      <c r="E134" s="64" t="s">
        <v>217</v>
      </c>
      <c r="F134" s="59"/>
      <c r="G134" s="28"/>
      <c r="H134" s="56">
        <f aca="true" t="shared" si="33" ref="H134:I136">H135</f>
        <v>500</v>
      </c>
      <c r="I134" s="56">
        <f t="shared" si="33"/>
        <v>343.8</v>
      </c>
      <c r="J134" s="56">
        <f t="shared" si="23"/>
        <v>-156.2</v>
      </c>
      <c r="K134" s="56">
        <f aca="true" t="shared" si="34" ref="K134:L136">K135</f>
        <v>343.8</v>
      </c>
      <c r="L134" s="56">
        <f t="shared" si="34"/>
        <v>343.8</v>
      </c>
      <c r="M134" s="56">
        <f aca="true" t="shared" si="35" ref="M134:O136">M135</f>
        <v>150</v>
      </c>
      <c r="N134" s="208">
        <f t="shared" si="35"/>
        <v>79.33600000000001</v>
      </c>
      <c r="O134" s="208">
        <f t="shared" si="35"/>
        <v>79.33600000000001</v>
      </c>
      <c r="P134" s="261">
        <f t="shared" si="24"/>
        <v>100</v>
      </c>
    </row>
    <row r="135" spans="1:16" s="24" customFormat="1" ht="14.25">
      <c r="A135" s="6" t="s">
        <v>220</v>
      </c>
      <c r="B135" s="64" t="s">
        <v>164</v>
      </c>
      <c r="C135" s="64" t="s">
        <v>143</v>
      </c>
      <c r="D135" s="64" t="s">
        <v>206</v>
      </c>
      <c r="E135" s="64" t="s">
        <v>218</v>
      </c>
      <c r="F135" s="59"/>
      <c r="G135" s="28"/>
      <c r="H135" s="56">
        <f t="shared" si="33"/>
        <v>500</v>
      </c>
      <c r="I135" s="56">
        <f t="shared" si="33"/>
        <v>343.8</v>
      </c>
      <c r="J135" s="56">
        <f t="shared" si="23"/>
        <v>-156.2</v>
      </c>
      <c r="K135" s="56">
        <f t="shared" si="34"/>
        <v>343.8</v>
      </c>
      <c r="L135" s="56">
        <f t="shared" si="34"/>
        <v>343.8</v>
      </c>
      <c r="M135" s="56">
        <f t="shared" si="35"/>
        <v>150</v>
      </c>
      <c r="N135" s="208">
        <f t="shared" si="35"/>
        <v>79.33600000000001</v>
      </c>
      <c r="O135" s="208">
        <f t="shared" si="35"/>
        <v>79.33600000000001</v>
      </c>
      <c r="P135" s="261">
        <f t="shared" si="24"/>
        <v>100</v>
      </c>
    </row>
    <row r="136" spans="1:16" s="24" customFormat="1" ht="25.5">
      <c r="A136" s="6" t="s">
        <v>97</v>
      </c>
      <c r="B136" s="64" t="s">
        <v>164</v>
      </c>
      <c r="C136" s="64" t="s">
        <v>143</v>
      </c>
      <c r="D136" s="64" t="s">
        <v>206</v>
      </c>
      <c r="E136" s="64" t="s">
        <v>218</v>
      </c>
      <c r="F136" s="110" t="s">
        <v>323</v>
      </c>
      <c r="G136" s="28"/>
      <c r="H136" s="56">
        <f t="shared" si="33"/>
        <v>500</v>
      </c>
      <c r="I136" s="56">
        <f t="shared" si="33"/>
        <v>343.8</v>
      </c>
      <c r="J136" s="56">
        <f t="shared" si="23"/>
        <v>-156.2</v>
      </c>
      <c r="K136" s="56">
        <f t="shared" si="34"/>
        <v>343.8</v>
      </c>
      <c r="L136" s="56">
        <f t="shared" si="34"/>
        <v>343.8</v>
      </c>
      <c r="M136" s="56">
        <f t="shared" si="35"/>
        <v>150</v>
      </c>
      <c r="N136" s="208">
        <f t="shared" si="35"/>
        <v>79.33600000000001</v>
      </c>
      <c r="O136" s="208">
        <f t="shared" si="35"/>
        <v>79.33600000000001</v>
      </c>
      <c r="P136" s="261">
        <f t="shared" si="24"/>
        <v>100</v>
      </c>
    </row>
    <row r="137" spans="1:33" s="70" customFormat="1" ht="14.25">
      <c r="A137" s="5" t="s">
        <v>209</v>
      </c>
      <c r="B137" s="64" t="s">
        <v>164</v>
      </c>
      <c r="C137" s="64" t="s">
        <v>143</v>
      </c>
      <c r="D137" s="64" t="s">
        <v>206</v>
      </c>
      <c r="E137" s="64" t="s">
        <v>218</v>
      </c>
      <c r="F137" s="110" t="s">
        <v>323</v>
      </c>
      <c r="G137" s="28">
        <v>3</v>
      </c>
      <c r="H137" s="56">
        <v>500</v>
      </c>
      <c r="I137" s="56">
        <v>343.8</v>
      </c>
      <c r="J137" s="56">
        <f t="shared" si="23"/>
        <v>-156.2</v>
      </c>
      <c r="K137" s="56">
        <v>343.8</v>
      </c>
      <c r="L137" s="56">
        <v>343.8</v>
      </c>
      <c r="M137" s="56">
        <f>500-350</f>
        <v>150</v>
      </c>
      <c r="N137" s="208">
        <f>150-70.6-0.064</f>
        <v>79.33600000000001</v>
      </c>
      <c r="O137" s="208">
        <f>150-70.6-0.064</f>
        <v>79.33600000000001</v>
      </c>
      <c r="P137" s="261">
        <f t="shared" si="24"/>
        <v>100</v>
      </c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1:16" s="176" customFormat="1" ht="25.5">
      <c r="A138" s="170" t="s">
        <v>221</v>
      </c>
      <c r="B138" s="171" t="s">
        <v>164</v>
      </c>
      <c r="C138" s="171" t="s">
        <v>143</v>
      </c>
      <c r="D138" s="171" t="s">
        <v>206</v>
      </c>
      <c r="E138" s="172" t="s">
        <v>156</v>
      </c>
      <c r="F138" s="173"/>
      <c r="G138" s="174"/>
      <c r="H138" s="175" t="e">
        <f>#REF!+#REF!+#REF!</f>
        <v>#REF!</v>
      </c>
      <c r="I138" s="175" t="e">
        <f>#REF!+#REF!+#REF!</f>
        <v>#REF!</v>
      </c>
      <c r="J138" s="175" t="e">
        <f t="shared" si="23"/>
        <v>#REF!</v>
      </c>
      <c r="K138" s="175" t="e">
        <f>#REF!+#REF!+#REF!</f>
        <v>#REF!</v>
      </c>
      <c r="L138" s="175" t="e">
        <f>#REF!+#REF!+#REF!</f>
        <v>#REF!</v>
      </c>
      <c r="M138" s="175">
        <f aca="true" t="shared" si="36" ref="M138:O140">M139</f>
        <v>50</v>
      </c>
      <c r="N138" s="220">
        <f t="shared" si="36"/>
        <v>172.066</v>
      </c>
      <c r="O138" s="220">
        <f t="shared" si="36"/>
        <v>172.06551</v>
      </c>
      <c r="P138" s="261">
        <f t="shared" si="24"/>
        <v>99.99971522555298</v>
      </c>
    </row>
    <row r="139" spans="1:16" s="176" customFormat="1" ht="38.25">
      <c r="A139" s="205" t="s">
        <v>360</v>
      </c>
      <c r="B139" s="171" t="s">
        <v>164</v>
      </c>
      <c r="C139" s="171" t="s">
        <v>143</v>
      </c>
      <c r="D139" s="171" t="s">
        <v>206</v>
      </c>
      <c r="E139" s="124" t="s">
        <v>359</v>
      </c>
      <c r="F139" s="177"/>
      <c r="G139" s="174"/>
      <c r="H139" s="175">
        <f>H140</f>
        <v>1600</v>
      </c>
      <c r="I139" s="175">
        <f>I140</f>
        <v>400</v>
      </c>
      <c r="J139" s="175">
        <f t="shared" si="23"/>
        <v>-1200</v>
      </c>
      <c r="K139" s="175">
        <f>K140</f>
        <v>501</v>
      </c>
      <c r="L139" s="175">
        <f>L140</f>
        <v>635.7</v>
      </c>
      <c r="M139" s="175">
        <f t="shared" si="36"/>
        <v>50</v>
      </c>
      <c r="N139" s="220">
        <f t="shared" si="36"/>
        <v>172.066</v>
      </c>
      <c r="O139" s="220">
        <f t="shared" si="36"/>
        <v>172.06551</v>
      </c>
      <c r="P139" s="261">
        <f t="shared" si="24"/>
        <v>99.99971522555298</v>
      </c>
    </row>
    <row r="140" spans="1:16" s="176" customFormat="1" ht="14.25">
      <c r="A140" s="170" t="s">
        <v>339</v>
      </c>
      <c r="B140" s="171" t="s">
        <v>164</v>
      </c>
      <c r="C140" s="171" t="s">
        <v>143</v>
      </c>
      <c r="D140" s="171" t="s">
        <v>206</v>
      </c>
      <c r="E140" s="124" t="s">
        <v>359</v>
      </c>
      <c r="F140" s="178" t="s">
        <v>20</v>
      </c>
      <c r="G140" s="174"/>
      <c r="H140" s="175">
        <f>H141</f>
        <v>1600</v>
      </c>
      <c r="I140" s="175">
        <f>I141</f>
        <v>400</v>
      </c>
      <c r="J140" s="175">
        <f t="shared" si="23"/>
        <v>-1200</v>
      </c>
      <c r="K140" s="175">
        <f>K141</f>
        <v>501</v>
      </c>
      <c r="L140" s="175">
        <f>L141</f>
        <v>635.7</v>
      </c>
      <c r="M140" s="175">
        <f t="shared" si="36"/>
        <v>50</v>
      </c>
      <c r="N140" s="220">
        <f t="shared" si="36"/>
        <v>172.066</v>
      </c>
      <c r="O140" s="220">
        <f t="shared" si="36"/>
        <v>172.06551</v>
      </c>
      <c r="P140" s="261">
        <f aca="true" t="shared" si="37" ref="P140:P203">O140/N140*100</f>
        <v>99.99971522555298</v>
      </c>
    </row>
    <row r="141" spans="1:16" s="176" customFormat="1" ht="14.25">
      <c r="A141" s="179" t="s">
        <v>209</v>
      </c>
      <c r="B141" s="171" t="s">
        <v>164</v>
      </c>
      <c r="C141" s="171" t="s">
        <v>143</v>
      </c>
      <c r="D141" s="171" t="s">
        <v>206</v>
      </c>
      <c r="E141" s="124" t="s">
        <v>359</v>
      </c>
      <c r="F141" s="178" t="s">
        <v>20</v>
      </c>
      <c r="G141" s="174">
        <v>3</v>
      </c>
      <c r="H141" s="175">
        <v>1600</v>
      </c>
      <c r="I141" s="175">
        <v>400</v>
      </c>
      <c r="J141" s="175">
        <f t="shared" si="23"/>
        <v>-1200</v>
      </c>
      <c r="K141" s="175">
        <f>400+101</f>
        <v>501</v>
      </c>
      <c r="L141" s="175">
        <f>400+101+134.7</f>
        <v>635.7</v>
      </c>
      <c r="M141" s="175">
        <f>250+200-400</f>
        <v>50</v>
      </c>
      <c r="N141" s="220">
        <f>130+42.1-0.034</f>
        <v>172.066</v>
      </c>
      <c r="O141" s="220">
        <v>172.06551</v>
      </c>
      <c r="P141" s="261">
        <f t="shared" si="37"/>
        <v>99.99971522555298</v>
      </c>
    </row>
    <row r="142" spans="1:16" s="24" customFormat="1" ht="14.25">
      <c r="A142" s="50" t="s">
        <v>48</v>
      </c>
      <c r="B142" s="43" t="s">
        <v>164</v>
      </c>
      <c r="C142" s="45" t="s">
        <v>144</v>
      </c>
      <c r="D142" s="45"/>
      <c r="E142" s="45"/>
      <c r="F142" s="45"/>
      <c r="G142" s="28"/>
      <c r="H142" s="58">
        <f aca="true" t="shared" si="38" ref="H142:I146">H143</f>
        <v>500</v>
      </c>
      <c r="I142" s="58">
        <f t="shared" si="38"/>
        <v>50</v>
      </c>
      <c r="J142" s="56">
        <f aca="true" t="shared" si="39" ref="J142:J182">I142-H142</f>
        <v>-450</v>
      </c>
      <c r="K142" s="58">
        <f aca="true" t="shared" si="40" ref="K142:L146">K143</f>
        <v>50</v>
      </c>
      <c r="L142" s="58">
        <f t="shared" si="40"/>
        <v>50</v>
      </c>
      <c r="M142" s="58">
        <f aca="true" t="shared" si="41" ref="M142:O146">M143</f>
        <v>500</v>
      </c>
      <c r="N142" s="217">
        <f t="shared" si="41"/>
        <v>441.438</v>
      </c>
      <c r="O142" s="217">
        <f t="shared" si="41"/>
        <v>441.438</v>
      </c>
      <c r="P142" s="261">
        <f t="shared" si="37"/>
        <v>100</v>
      </c>
    </row>
    <row r="143" spans="1:16" ht="25.5">
      <c r="A143" s="105" t="s">
        <v>304</v>
      </c>
      <c r="B143" s="13" t="s">
        <v>164</v>
      </c>
      <c r="C143" s="12" t="s">
        <v>144</v>
      </c>
      <c r="D143" s="37" t="s">
        <v>305</v>
      </c>
      <c r="E143" s="12"/>
      <c r="F143" s="12"/>
      <c r="G143" s="34"/>
      <c r="H143" s="58">
        <f t="shared" si="38"/>
        <v>500</v>
      </c>
      <c r="I143" s="58">
        <f t="shared" si="38"/>
        <v>50</v>
      </c>
      <c r="J143" s="56">
        <f t="shared" si="39"/>
        <v>-450</v>
      </c>
      <c r="K143" s="58">
        <f t="shared" si="40"/>
        <v>50</v>
      </c>
      <c r="L143" s="58">
        <f t="shared" si="40"/>
        <v>50</v>
      </c>
      <c r="M143" s="58">
        <f t="shared" si="41"/>
        <v>500</v>
      </c>
      <c r="N143" s="217">
        <f t="shared" si="41"/>
        <v>441.438</v>
      </c>
      <c r="O143" s="217">
        <f t="shared" si="41"/>
        <v>441.438</v>
      </c>
      <c r="P143" s="261">
        <f t="shared" si="37"/>
        <v>100</v>
      </c>
    </row>
    <row r="144" spans="1:16" ht="25.5">
      <c r="A144" s="6" t="s">
        <v>221</v>
      </c>
      <c r="B144" s="13" t="s">
        <v>164</v>
      </c>
      <c r="C144" s="12" t="s">
        <v>144</v>
      </c>
      <c r="D144" s="37" t="s">
        <v>305</v>
      </c>
      <c r="E144" s="12" t="s">
        <v>156</v>
      </c>
      <c r="F144" s="12"/>
      <c r="G144" s="34"/>
      <c r="H144" s="58">
        <f t="shared" si="38"/>
        <v>500</v>
      </c>
      <c r="I144" s="58">
        <f t="shared" si="38"/>
        <v>50</v>
      </c>
      <c r="J144" s="56">
        <f t="shared" si="39"/>
        <v>-450</v>
      </c>
      <c r="K144" s="58">
        <f t="shared" si="40"/>
        <v>50</v>
      </c>
      <c r="L144" s="58">
        <f t="shared" si="40"/>
        <v>50</v>
      </c>
      <c r="M144" s="58">
        <f t="shared" si="41"/>
        <v>500</v>
      </c>
      <c r="N144" s="217">
        <f t="shared" si="41"/>
        <v>441.438</v>
      </c>
      <c r="O144" s="217">
        <f t="shared" si="41"/>
        <v>441.438</v>
      </c>
      <c r="P144" s="261">
        <f t="shared" si="37"/>
        <v>100</v>
      </c>
    </row>
    <row r="145" spans="1:16" ht="38.25">
      <c r="A145" s="109" t="s">
        <v>306</v>
      </c>
      <c r="B145" s="13" t="s">
        <v>164</v>
      </c>
      <c r="C145" s="12" t="s">
        <v>144</v>
      </c>
      <c r="D145" s="37" t="s">
        <v>305</v>
      </c>
      <c r="E145" s="39">
        <v>7950011</v>
      </c>
      <c r="F145" s="13"/>
      <c r="G145" s="34"/>
      <c r="H145" s="58">
        <f t="shared" si="38"/>
        <v>500</v>
      </c>
      <c r="I145" s="58">
        <f t="shared" si="38"/>
        <v>50</v>
      </c>
      <c r="J145" s="56">
        <f t="shared" si="39"/>
        <v>-450</v>
      </c>
      <c r="K145" s="58">
        <f t="shared" si="40"/>
        <v>50</v>
      </c>
      <c r="L145" s="58">
        <f t="shared" si="40"/>
        <v>50</v>
      </c>
      <c r="M145" s="58">
        <f t="shared" si="41"/>
        <v>500</v>
      </c>
      <c r="N145" s="217">
        <f t="shared" si="41"/>
        <v>441.438</v>
      </c>
      <c r="O145" s="217">
        <f t="shared" si="41"/>
        <v>441.438</v>
      </c>
      <c r="P145" s="261">
        <f t="shared" si="37"/>
        <v>100</v>
      </c>
    </row>
    <row r="146" spans="1:16" ht="25.5">
      <c r="A146" s="6" t="s">
        <v>97</v>
      </c>
      <c r="B146" s="13" t="s">
        <v>164</v>
      </c>
      <c r="C146" s="12" t="s">
        <v>144</v>
      </c>
      <c r="D146" s="37" t="s">
        <v>305</v>
      </c>
      <c r="E146" s="39">
        <v>7950011</v>
      </c>
      <c r="F146" s="13" t="s">
        <v>323</v>
      </c>
      <c r="G146" s="34"/>
      <c r="H146" s="58">
        <f t="shared" si="38"/>
        <v>500</v>
      </c>
      <c r="I146" s="58">
        <f t="shared" si="38"/>
        <v>50</v>
      </c>
      <c r="J146" s="56">
        <f t="shared" si="39"/>
        <v>-450</v>
      </c>
      <c r="K146" s="58">
        <f t="shared" si="40"/>
        <v>50</v>
      </c>
      <c r="L146" s="58">
        <f t="shared" si="40"/>
        <v>50</v>
      </c>
      <c r="M146" s="58">
        <f t="shared" si="41"/>
        <v>500</v>
      </c>
      <c r="N146" s="217">
        <f t="shared" si="41"/>
        <v>441.438</v>
      </c>
      <c r="O146" s="217">
        <f t="shared" si="41"/>
        <v>441.438</v>
      </c>
      <c r="P146" s="261">
        <f t="shared" si="37"/>
        <v>100</v>
      </c>
    </row>
    <row r="147" spans="1:33" s="23" customFormat="1" ht="14.25">
      <c r="A147" s="6" t="s">
        <v>209</v>
      </c>
      <c r="B147" s="13" t="s">
        <v>164</v>
      </c>
      <c r="C147" s="12" t="s">
        <v>144</v>
      </c>
      <c r="D147" s="37" t="s">
        <v>305</v>
      </c>
      <c r="E147" s="39">
        <v>7950011</v>
      </c>
      <c r="F147" s="13" t="s">
        <v>323</v>
      </c>
      <c r="G147" s="34">
        <v>3</v>
      </c>
      <c r="H147" s="79">
        <v>500</v>
      </c>
      <c r="I147" s="56">
        <f>100-50</f>
        <v>50</v>
      </c>
      <c r="J147" s="56">
        <f t="shared" si="39"/>
        <v>-450</v>
      </c>
      <c r="K147" s="56">
        <f>100-50</f>
        <v>50</v>
      </c>
      <c r="L147" s="56">
        <f>100-50</f>
        <v>50</v>
      </c>
      <c r="M147" s="56">
        <f>500</f>
        <v>500</v>
      </c>
      <c r="N147" s="208">
        <f>300+400-200-58.562</f>
        <v>441.438</v>
      </c>
      <c r="O147" s="208">
        <f>300+400-200-58.562</f>
        <v>441.438</v>
      </c>
      <c r="P147" s="261">
        <f t="shared" si="37"/>
        <v>100</v>
      </c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</row>
    <row r="148" spans="1:16" s="47" customFormat="1" ht="15.75">
      <c r="A148" s="35" t="s">
        <v>47</v>
      </c>
      <c r="B148" s="46" t="s">
        <v>164</v>
      </c>
      <c r="C148" s="46" t="s">
        <v>145</v>
      </c>
      <c r="D148" s="46"/>
      <c r="E148" s="46"/>
      <c r="F148" s="46"/>
      <c r="G148" s="66"/>
      <c r="H148" s="56">
        <f>H156</f>
        <v>100</v>
      </c>
      <c r="I148" s="56">
        <f>I156</f>
        <v>100</v>
      </c>
      <c r="J148" s="56">
        <f t="shared" si="39"/>
        <v>0</v>
      </c>
      <c r="K148" s="56">
        <f>K156</f>
        <v>100</v>
      </c>
      <c r="L148" s="56">
        <f>L156</f>
        <v>100</v>
      </c>
      <c r="M148" s="56" t="e">
        <f>M156+M161</f>
        <v>#REF!</v>
      </c>
      <c r="N148" s="208">
        <f>N156+N161+N149</f>
        <v>51707.68200000001</v>
      </c>
      <c r="O148" s="208">
        <f>O156+O161+O149</f>
        <v>51684.178940000005</v>
      </c>
      <c r="P148" s="261">
        <f t="shared" si="37"/>
        <v>99.95454628965963</v>
      </c>
    </row>
    <row r="149" spans="1:16" s="193" customFormat="1" ht="32.25" customHeight="1">
      <c r="A149" s="4" t="s">
        <v>112</v>
      </c>
      <c r="B149" s="188" t="s">
        <v>164</v>
      </c>
      <c r="C149" s="189" t="s">
        <v>145</v>
      </c>
      <c r="D149" s="189" t="s">
        <v>177</v>
      </c>
      <c r="E149" s="196"/>
      <c r="F149" s="188"/>
      <c r="G149" s="190"/>
      <c r="H149" s="191"/>
      <c r="I149" s="191"/>
      <c r="J149" s="192"/>
      <c r="K149" s="191"/>
      <c r="L149" s="191"/>
      <c r="M149" s="191"/>
      <c r="N149" s="221">
        <f aca="true" t="shared" si="42" ref="N149:O151">N150</f>
        <v>51253.40000000001</v>
      </c>
      <c r="O149" s="221">
        <f t="shared" si="42"/>
        <v>51229.897000000004</v>
      </c>
      <c r="P149" s="261">
        <f t="shared" si="37"/>
        <v>99.9541435299902</v>
      </c>
    </row>
    <row r="150" spans="1:16" s="193" customFormat="1" ht="14.25">
      <c r="A150" s="195" t="s">
        <v>440</v>
      </c>
      <c r="B150" s="188" t="s">
        <v>164</v>
      </c>
      <c r="C150" s="189" t="s">
        <v>145</v>
      </c>
      <c r="D150" s="189" t="s">
        <v>177</v>
      </c>
      <c r="E150" s="196" t="s">
        <v>430</v>
      </c>
      <c r="F150" s="188"/>
      <c r="G150" s="190"/>
      <c r="H150" s="191"/>
      <c r="I150" s="191"/>
      <c r="J150" s="192"/>
      <c r="K150" s="191"/>
      <c r="L150" s="191"/>
      <c r="M150" s="191"/>
      <c r="N150" s="221">
        <f t="shared" si="42"/>
        <v>51253.40000000001</v>
      </c>
      <c r="O150" s="221">
        <f t="shared" si="42"/>
        <v>51229.897000000004</v>
      </c>
      <c r="P150" s="261">
        <f t="shared" si="37"/>
        <v>99.9541435299902</v>
      </c>
    </row>
    <row r="151" spans="1:16" s="193" customFormat="1" ht="30" customHeight="1">
      <c r="A151" s="195" t="s">
        <v>439</v>
      </c>
      <c r="B151" s="188" t="s">
        <v>164</v>
      </c>
      <c r="C151" s="189" t="s">
        <v>145</v>
      </c>
      <c r="D151" s="189" t="s">
        <v>177</v>
      </c>
      <c r="E151" s="196" t="s">
        <v>438</v>
      </c>
      <c r="F151" s="188"/>
      <c r="G151" s="190"/>
      <c r="H151" s="191"/>
      <c r="I151" s="191"/>
      <c r="J151" s="192"/>
      <c r="K151" s="191"/>
      <c r="L151" s="191"/>
      <c r="M151" s="191"/>
      <c r="N151" s="221">
        <f t="shared" si="42"/>
        <v>51253.40000000001</v>
      </c>
      <c r="O151" s="221">
        <f t="shared" si="42"/>
        <v>51229.897000000004</v>
      </c>
      <c r="P151" s="261">
        <f t="shared" si="37"/>
        <v>99.9541435299902</v>
      </c>
    </row>
    <row r="152" spans="1:16" s="193" customFormat="1" ht="14.25">
      <c r="A152" s="6" t="s">
        <v>339</v>
      </c>
      <c r="B152" s="188" t="s">
        <v>164</v>
      </c>
      <c r="C152" s="189" t="s">
        <v>145</v>
      </c>
      <c r="D152" s="189" t="s">
        <v>177</v>
      </c>
      <c r="E152" s="196" t="s">
        <v>438</v>
      </c>
      <c r="F152" s="171" t="s">
        <v>20</v>
      </c>
      <c r="G152" s="190"/>
      <c r="H152" s="191"/>
      <c r="I152" s="191"/>
      <c r="J152" s="192"/>
      <c r="K152" s="191"/>
      <c r="L152" s="191"/>
      <c r="M152" s="191"/>
      <c r="N152" s="221">
        <f>N154+N155+N153</f>
        <v>51253.40000000001</v>
      </c>
      <c r="O152" s="221">
        <f>O154+O155+O153</f>
        <v>51229.897000000004</v>
      </c>
      <c r="P152" s="261">
        <f t="shared" si="37"/>
        <v>99.9541435299902</v>
      </c>
    </row>
    <row r="153" spans="1:16" s="193" customFormat="1" ht="14.25">
      <c r="A153" s="195" t="s">
        <v>210</v>
      </c>
      <c r="B153" s="188" t="s">
        <v>164</v>
      </c>
      <c r="C153" s="189" t="s">
        <v>145</v>
      </c>
      <c r="D153" s="189" t="s">
        <v>177</v>
      </c>
      <c r="E153" s="196" t="s">
        <v>438</v>
      </c>
      <c r="F153" s="171" t="s">
        <v>20</v>
      </c>
      <c r="G153" s="190">
        <v>1</v>
      </c>
      <c r="H153" s="191"/>
      <c r="I153" s="191"/>
      <c r="J153" s="192"/>
      <c r="K153" s="191"/>
      <c r="L153" s="191"/>
      <c r="M153" s="191"/>
      <c r="N153" s="221">
        <f>44071.8-1069.1</f>
        <v>43002.700000000004</v>
      </c>
      <c r="O153" s="221">
        <f>44071.8-1069.1</f>
        <v>43002.700000000004</v>
      </c>
      <c r="P153" s="261">
        <f t="shared" si="37"/>
        <v>100</v>
      </c>
    </row>
    <row r="154" spans="1:16" s="193" customFormat="1" ht="14.25">
      <c r="A154" s="194" t="s">
        <v>211</v>
      </c>
      <c r="B154" s="188" t="s">
        <v>164</v>
      </c>
      <c r="C154" s="189" t="s">
        <v>145</v>
      </c>
      <c r="D154" s="189" t="s">
        <v>177</v>
      </c>
      <c r="E154" s="196" t="s">
        <v>438</v>
      </c>
      <c r="F154" s="171" t="s">
        <v>20</v>
      </c>
      <c r="G154" s="190">
        <v>2</v>
      </c>
      <c r="H154" s="191"/>
      <c r="I154" s="191"/>
      <c r="J154" s="192"/>
      <c r="K154" s="191"/>
      <c r="L154" s="191"/>
      <c r="M154" s="191"/>
      <c r="N154" s="221">
        <f>8018-267.3</f>
        <v>7750.7</v>
      </c>
      <c r="O154" s="221">
        <f>8018-267.3</f>
        <v>7750.7</v>
      </c>
      <c r="P154" s="261">
        <f t="shared" si="37"/>
        <v>100</v>
      </c>
    </row>
    <row r="155" spans="1:16" s="193" customFormat="1" ht="14.25">
      <c r="A155" s="194" t="s">
        <v>209</v>
      </c>
      <c r="B155" s="188" t="s">
        <v>164</v>
      </c>
      <c r="C155" s="189" t="s">
        <v>145</v>
      </c>
      <c r="D155" s="189" t="s">
        <v>177</v>
      </c>
      <c r="E155" s="196" t="s">
        <v>438</v>
      </c>
      <c r="F155" s="171" t="s">
        <v>20</v>
      </c>
      <c r="G155" s="190">
        <v>3</v>
      </c>
      <c r="H155" s="191"/>
      <c r="I155" s="191"/>
      <c r="J155" s="192"/>
      <c r="K155" s="191"/>
      <c r="L155" s="191"/>
      <c r="M155" s="191"/>
      <c r="N155" s="221">
        <f>3000-2500</f>
        <v>500</v>
      </c>
      <c r="O155" s="221">
        <v>476.497</v>
      </c>
      <c r="P155" s="261">
        <f t="shared" si="37"/>
        <v>95.2994</v>
      </c>
    </row>
    <row r="156" spans="1:16" ht="15.75">
      <c r="A156" s="5" t="s">
        <v>67</v>
      </c>
      <c r="B156" s="13" t="s">
        <v>164</v>
      </c>
      <c r="C156" s="46" t="s">
        <v>145</v>
      </c>
      <c r="D156" s="43" t="s">
        <v>173</v>
      </c>
      <c r="E156" s="12"/>
      <c r="F156" s="16"/>
      <c r="G156" s="34"/>
      <c r="H156" s="55">
        <f aca="true" t="shared" si="43" ref="H156:I159">H157</f>
        <v>100</v>
      </c>
      <c r="I156" s="55">
        <f t="shared" si="43"/>
        <v>100</v>
      </c>
      <c r="J156" s="56">
        <f t="shared" si="39"/>
        <v>0</v>
      </c>
      <c r="K156" s="55">
        <f>K157</f>
        <v>100</v>
      </c>
      <c r="L156" s="55">
        <f>L157</f>
        <v>100</v>
      </c>
      <c r="M156" s="55">
        <f aca="true" t="shared" si="44" ref="M156:O158">M157</f>
        <v>100</v>
      </c>
      <c r="N156" s="207">
        <f t="shared" si="44"/>
        <v>100</v>
      </c>
      <c r="O156" s="207">
        <f t="shared" si="44"/>
        <v>100</v>
      </c>
      <c r="P156" s="261">
        <f t="shared" si="37"/>
        <v>100</v>
      </c>
    </row>
    <row r="157" spans="1:16" ht="25.5">
      <c r="A157" s="6" t="s">
        <v>221</v>
      </c>
      <c r="B157" s="13" t="s">
        <v>164</v>
      </c>
      <c r="C157" s="46" t="s">
        <v>145</v>
      </c>
      <c r="D157" s="43" t="s">
        <v>173</v>
      </c>
      <c r="E157" s="37" t="s">
        <v>156</v>
      </c>
      <c r="F157" s="16"/>
      <c r="G157" s="34"/>
      <c r="H157" s="55">
        <f t="shared" si="43"/>
        <v>100</v>
      </c>
      <c r="I157" s="55">
        <f t="shared" si="43"/>
        <v>100</v>
      </c>
      <c r="J157" s="56">
        <f t="shared" si="39"/>
        <v>0</v>
      </c>
      <c r="K157" s="55">
        <f>K158</f>
        <v>100</v>
      </c>
      <c r="L157" s="55">
        <f>L158</f>
        <v>100</v>
      </c>
      <c r="M157" s="55">
        <f t="shared" si="44"/>
        <v>100</v>
      </c>
      <c r="N157" s="207">
        <f t="shared" si="44"/>
        <v>100</v>
      </c>
      <c r="O157" s="207">
        <f t="shared" si="44"/>
        <v>100</v>
      </c>
      <c r="P157" s="261">
        <f t="shared" si="37"/>
        <v>100</v>
      </c>
    </row>
    <row r="158" spans="1:16" ht="38.25">
      <c r="A158" s="109" t="s">
        <v>400</v>
      </c>
      <c r="B158" s="13" t="s">
        <v>164</v>
      </c>
      <c r="C158" s="46" t="s">
        <v>145</v>
      </c>
      <c r="D158" s="43" t="s">
        <v>173</v>
      </c>
      <c r="E158" s="37" t="s">
        <v>412</v>
      </c>
      <c r="F158" s="13"/>
      <c r="G158" s="34"/>
      <c r="H158" s="55">
        <f t="shared" si="43"/>
        <v>100</v>
      </c>
      <c r="I158" s="55">
        <f t="shared" si="43"/>
        <v>100</v>
      </c>
      <c r="J158" s="56">
        <f t="shared" si="39"/>
        <v>0</v>
      </c>
      <c r="K158" s="55">
        <f aca="true" t="shared" si="45" ref="K158:M159">K159</f>
        <v>100</v>
      </c>
      <c r="L158" s="55">
        <f t="shared" si="45"/>
        <v>100</v>
      </c>
      <c r="M158" s="55">
        <f t="shared" si="45"/>
        <v>100</v>
      </c>
      <c r="N158" s="207">
        <f t="shared" si="44"/>
        <v>100</v>
      </c>
      <c r="O158" s="207">
        <f t="shared" si="44"/>
        <v>100</v>
      </c>
      <c r="P158" s="261">
        <f t="shared" si="37"/>
        <v>100</v>
      </c>
    </row>
    <row r="159" spans="1:16" ht="25.5">
      <c r="A159" s="6" t="s">
        <v>97</v>
      </c>
      <c r="B159" s="13" t="s">
        <v>164</v>
      </c>
      <c r="C159" s="46" t="s">
        <v>145</v>
      </c>
      <c r="D159" s="43" t="s">
        <v>173</v>
      </c>
      <c r="E159" s="13" t="s">
        <v>412</v>
      </c>
      <c r="F159" s="110" t="s">
        <v>323</v>
      </c>
      <c r="G159" s="34"/>
      <c r="H159" s="55">
        <f t="shared" si="43"/>
        <v>100</v>
      </c>
      <c r="I159" s="55">
        <f t="shared" si="43"/>
        <v>100</v>
      </c>
      <c r="J159" s="56">
        <f t="shared" si="39"/>
        <v>0</v>
      </c>
      <c r="K159" s="55">
        <f t="shared" si="45"/>
        <v>100</v>
      </c>
      <c r="L159" s="55">
        <f t="shared" si="45"/>
        <v>100</v>
      </c>
      <c r="M159" s="55">
        <f t="shared" si="45"/>
        <v>100</v>
      </c>
      <c r="N159" s="207">
        <f>N160</f>
        <v>100</v>
      </c>
      <c r="O159" s="207">
        <f>O160</f>
        <v>100</v>
      </c>
      <c r="P159" s="261">
        <f t="shared" si="37"/>
        <v>100</v>
      </c>
    </row>
    <row r="160" spans="1:33" s="23" customFormat="1" ht="15.75">
      <c r="A160" s="5" t="s">
        <v>209</v>
      </c>
      <c r="B160" s="13" t="s">
        <v>164</v>
      </c>
      <c r="C160" s="46" t="s">
        <v>145</v>
      </c>
      <c r="D160" s="43" t="s">
        <v>173</v>
      </c>
      <c r="E160" s="13" t="s">
        <v>412</v>
      </c>
      <c r="F160" s="110" t="s">
        <v>323</v>
      </c>
      <c r="G160" s="34">
        <v>3</v>
      </c>
      <c r="H160" s="72">
        <v>100</v>
      </c>
      <c r="I160" s="55">
        <v>100</v>
      </c>
      <c r="J160" s="56">
        <f t="shared" si="39"/>
        <v>0</v>
      </c>
      <c r="K160" s="55">
        <v>100</v>
      </c>
      <c r="L160" s="55">
        <v>100</v>
      </c>
      <c r="M160" s="55">
        <v>100</v>
      </c>
      <c r="N160" s="207">
        <v>100</v>
      </c>
      <c r="O160" s="207">
        <v>100</v>
      </c>
      <c r="P160" s="261">
        <f t="shared" si="37"/>
        <v>100</v>
      </c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</row>
    <row r="161" spans="1:33" s="23" customFormat="1" ht="14.25">
      <c r="A161" s="4" t="s">
        <v>14</v>
      </c>
      <c r="B161" s="13" t="s">
        <v>164</v>
      </c>
      <c r="C161" s="11" t="s">
        <v>145</v>
      </c>
      <c r="D161" s="11" t="s">
        <v>179</v>
      </c>
      <c r="E161" s="12"/>
      <c r="F161" s="110"/>
      <c r="G161" s="34"/>
      <c r="H161" s="72"/>
      <c r="I161" s="55"/>
      <c r="J161" s="56"/>
      <c r="K161" s="55"/>
      <c r="L161" s="55"/>
      <c r="M161" s="55" t="e">
        <f>M162</f>
        <v>#REF!</v>
      </c>
      <c r="N161" s="207">
        <f>N162+N167</f>
        <v>354.282</v>
      </c>
      <c r="O161" s="207">
        <f>O162+O167</f>
        <v>354.28194</v>
      </c>
      <c r="P161" s="261">
        <f t="shared" si="37"/>
        <v>99.9999830643386</v>
      </c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</row>
    <row r="162" spans="1:33" s="23" customFormat="1" ht="38.25">
      <c r="A162" s="109" t="s">
        <v>288</v>
      </c>
      <c r="B162" s="13" t="s">
        <v>164</v>
      </c>
      <c r="C162" s="11" t="s">
        <v>145</v>
      </c>
      <c r="D162" s="11" t="s">
        <v>179</v>
      </c>
      <c r="E162" s="80" t="s">
        <v>287</v>
      </c>
      <c r="F162" s="13"/>
      <c r="G162" s="34"/>
      <c r="H162" s="72"/>
      <c r="I162" s="55"/>
      <c r="J162" s="56"/>
      <c r="K162" s="55"/>
      <c r="L162" s="55"/>
      <c r="M162" s="55" t="e">
        <f>#REF!</f>
        <v>#REF!</v>
      </c>
      <c r="N162" s="207">
        <f>N163</f>
        <v>274.282</v>
      </c>
      <c r="O162" s="207">
        <f>O163</f>
        <v>274.28194</v>
      </c>
      <c r="P162" s="261">
        <f t="shared" si="37"/>
        <v>99.99997812470379</v>
      </c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</row>
    <row r="163" spans="1:33" s="23" customFormat="1" ht="14.25">
      <c r="A163" s="6" t="s">
        <v>339</v>
      </c>
      <c r="B163" s="13" t="s">
        <v>164</v>
      </c>
      <c r="C163" s="11" t="s">
        <v>145</v>
      </c>
      <c r="D163" s="11" t="s">
        <v>179</v>
      </c>
      <c r="E163" s="80" t="s">
        <v>287</v>
      </c>
      <c r="F163" s="13" t="s">
        <v>20</v>
      </c>
      <c r="G163" s="34"/>
      <c r="H163" s="72"/>
      <c r="I163" s="55"/>
      <c r="J163" s="56"/>
      <c r="K163" s="55"/>
      <c r="L163" s="55"/>
      <c r="M163" s="55">
        <f>M164+M165+M166</f>
        <v>1500</v>
      </c>
      <c r="N163" s="207">
        <f>N164+N165+N166</f>
        <v>274.282</v>
      </c>
      <c r="O163" s="207">
        <f>O164+O165+O166</f>
        <v>274.28194</v>
      </c>
      <c r="P163" s="261">
        <f t="shared" si="37"/>
        <v>99.99997812470379</v>
      </c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</row>
    <row r="164" spans="1:33" s="23" customFormat="1" ht="14.25">
      <c r="A164" s="51" t="s">
        <v>210</v>
      </c>
      <c r="B164" s="13" t="s">
        <v>164</v>
      </c>
      <c r="C164" s="11" t="s">
        <v>145</v>
      </c>
      <c r="D164" s="11" t="s">
        <v>179</v>
      </c>
      <c r="E164" s="80" t="s">
        <v>287</v>
      </c>
      <c r="F164" s="13" t="s">
        <v>20</v>
      </c>
      <c r="G164" s="34">
        <v>1</v>
      </c>
      <c r="H164" s="72"/>
      <c r="I164" s="55"/>
      <c r="J164" s="56"/>
      <c r="K164" s="55"/>
      <c r="L164" s="55"/>
      <c r="M164" s="55"/>
      <c r="N164" s="207"/>
      <c r="O164" s="207"/>
      <c r="P164" s="261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</row>
    <row r="165" spans="1:33" s="23" customFormat="1" ht="14.25">
      <c r="A165" s="6" t="s">
        <v>211</v>
      </c>
      <c r="B165" s="13" t="s">
        <v>164</v>
      </c>
      <c r="C165" s="11" t="s">
        <v>145</v>
      </c>
      <c r="D165" s="11" t="s">
        <v>179</v>
      </c>
      <c r="E165" s="80" t="s">
        <v>287</v>
      </c>
      <c r="F165" s="13" t="s">
        <v>20</v>
      </c>
      <c r="G165" s="34">
        <v>2</v>
      </c>
      <c r="H165" s="72"/>
      <c r="I165" s="55"/>
      <c r="J165" s="56"/>
      <c r="K165" s="55"/>
      <c r="L165" s="55"/>
      <c r="M165" s="55"/>
      <c r="N165" s="207"/>
      <c r="O165" s="207"/>
      <c r="P165" s="261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</row>
    <row r="166" spans="1:33" s="23" customFormat="1" ht="14.25">
      <c r="A166" s="6" t="s">
        <v>209</v>
      </c>
      <c r="B166" s="13" t="s">
        <v>164</v>
      </c>
      <c r="C166" s="11" t="s">
        <v>145</v>
      </c>
      <c r="D166" s="11" t="s">
        <v>179</v>
      </c>
      <c r="E166" s="80" t="s">
        <v>287</v>
      </c>
      <c r="F166" s="13" t="s">
        <v>20</v>
      </c>
      <c r="G166" s="34">
        <v>3</v>
      </c>
      <c r="H166" s="72"/>
      <c r="I166" s="55"/>
      <c r="J166" s="56"/>
      <c r="K166" s="55"/>
      <c r="L166" s="55"/>
      <c r="M166" s="55">
        <v>1500</v>
      </c>
      <c r="N166" s="207">
        <f>300-25.718</f>
        <v>274.282</v>
      </c>
      <c r="O166" s="207">
        <v>274.28194</v>
      </c>
      <c r="P166" s="261">
        <f t="shared" si="37"/>
        <v>99.99997812470379</v>
      </c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</row>
    <row r="167" spans="1:16" s="23" customFormat="1" ht="42" customHeight="1">
      <c r="A167" s="200" t="s">
        <v>404</v>
      </c>
      <c r="B167" s="201" t="s">
        <v>164</v>
      </c>
      <c r="C167" s="201" t="s">
        <v>145</v>
      </c>
      <c r="D167" s="201" t="s">
        <v>179</v>
      </c>
      <c r="E167" s="202" t="s">
        <v>415</v>
      </c>
      <c r="F167" s="203"/>
      <c r="G167" s="187"/>
      <c r="H167" s="183"/>
      <c r="I167" s="183"/>
      <c r="J167" s="184"/>
      <c r="K167" s="183"/>
      <c r="L167" s="183"/>
      <c r="M167" s="183"/>
      <c r="N167" s="218">
        <f>N168</f>
        <v>80</v>
      </c>
      <c r="O167" s="218">
        <f>O168</f>
        <v>80</v>
      </c>
      <c r="P167" s="261">
        <f t="shared" si="37"/>
        <v>100</v>
      </c>
    </row>
    <row r="168" spans="1:16" s="23" customFormat="1" ht="29.25" customHeight="1">
      <c r="A168" s="6" t="s">
        <v>97</v>
      </c>
      <c r="B168" s="185" t="s">
        <v>164</v>
      </c>
      <c r="C168" s="201" t="s">
        <v>145</v>
      </c>
      <c r="D168" s="201" t="s">
        <v>179</v>
      </c>
      <c r="E168" s="202" t="s">
        <v>415</v>
      </c>
      <c r="F168" s="101" t="s">
        <v>323</v>
      </c>
      <c r="G168" s="187"/>
      <c r="H168" s="183"/>
      <c r="I168" s="183"/>
      <c r="J168" s="184"/>
      <c r="K168" s="183"/>
      <c r="L168" s="183"/>
      <c r="M168" s="183"/>
      <c r="N168" s="218">
        <f>N169</f>
        <v>80</v>
      </c>
      <c r="O168" s="218">
        <f>O169</f>
        <v>80</v>
      </c>
      <c r="P168" s="261">
        <f t="shared" si="37"/>
        <v>100</v>
      </c>
    </row>
    <row r="169" spans="1:16" s="23" customFormat="1" ht="15" customHeight="1">
      <c r="A169" s="169" t="s">
        <v>209</v>
      </c>
      <c r="B169" s="185" t="s">
        <v>164</v>
      </c>
      <c r="C169" s="201" t="s">
        <v>145</v>
      </c>
      <c r="D169" s="201" t="s">
        <v>179</v>
      </c>
      <c r="E169" s="202" t="s">
        <v>415</v>
      </c>
      <c r="F169" s="101" t="s">
        <v>323</v>
      </c>
      <c r="G169" s="187">
        <v>3</v>
      </c>
      <c r="H169" s="183"/>
      <c r="I169" s="183"/>
      <c r="J169" s="184"/>
      <c r="K169" s="183"/>
      <c r="L169" s="183"/>
      <c r="M169" s="183"/>
      <c r="N169" s="218">
        <f>637.1-557.1</f>
        <v>80</v>
      </c>
      <c r="O169" s="218">
        <f>637.1-557.1</f>
        <v>80</v>
      </c>
      <c r="P169" s="261">
        <f t="shared" si="37"/>
        <v>100</v>
      </c>
    </row>
    <row r="170" spans="1:16" ht="14.25">
      <c r="A170" s="3" t="s">
        <v>255</v>
      </c>
      <c r="B170" s="10" t="s">
        <v>164</v>
      </c>
      <c r="C170" s="10" t="s">
        <v>147</v>
      </c>
      <c r="D170" s="10">
        <v>0</v>
      </c>
      <c r="E170" s="10">
        <v>0</v>
      </c>
      <c r="F170" s="10">
        <v>0</v>
      </c>
      <c r="G170" s="34"/>
      <c r="H170" s="60" t="e">
        <f>H171+H175+#REF!+#REF!+#REF!</f>
        <v>#REF!</v>
      </c>
      <c r="I170" s="60" t="e">
        <f>I171+I175+#REF!+#REF!+#REF!</f>
        <v>#REF!</v>
      </c>
      <c r="J170" s="56" t="e">
        <f t="shared" si="39"/>
        <v>#REF!</v>
      </c>
      <c r="K170" s="60" t="e">
        <f>K171+K175+#REF!+#REF!+#REF!</f>
        <v>#REF!</v>
      </c>
      <c r="L170" s="60" t="e">
        <f>L171+L175+#REF!+#REF!+#REF!</f>
        <v>#REF!</v>
      </c>
      <c r="M170" s="60">
        <f aca="true" t="shared" si="46" ref="M170:O171">M171</f>
        <v>50</v>
      </c>
      <c r="N170" s="222">
        <f t="shared" si="46"/>
        <v>500</v>
      </c>
      <c r="O170" s="222">
        <f t="shared" si="46"/>
        <v>500</v>
      </c>
      <c r="P170" s="261">
        <f t="shared" si="37"/>
        <v>100</v>
      </c>
    </row>
    <row r="171" spans="1:16" ht="28.5">
      <c r="A171" s="4" t="s">
        <v>278</v>
      </c>
      <c r="B171" s="11" t="s">
        <v>164</v>
      </c>
      <c r="C171" s="12" t="s">
        <v>147</v>
      </c>
      <c r="D171" s="12" t="s">
        <v>268</v>
      </c>
      <c r="E171" s="12"/>
      <c r="F171" s="13"/>
      <c r="G171" s="34"/>
      <c r="H171" s="60" t="e">
        <f>H172</f>
        <v>#REF!</v>
      </c>
      <c r="I171" s="60" t="e">
        <f>I172</f>
        <v>#REF!</v>
      </c>
      <c r="J171" s="56" t="e">
        <f t="shared" si="39"/>
        <v>#REF!</v>
      </c>
      <c r="K171" s="60" t="e">
        <f>K172</f>
        <v>#REF!</v>
      </c>
      <c r="L171" s="60" t="e">
        <f>L172</f>
        <v>#REF!</v>
      </c>
      <c r="M171" s="60">
        <f t="shared" si="46"/>
        <v>50</v>
      </c>
      <c r="N171" s="222">
        <f t="shared" si="46"/>
        <v>500</v>
      </c>
      <c r="O171" s="222">
        <f t="shared" si="46"/>
        <v>500</v>
      </c>
      <c r="P171" s="261">
        <f t="shared" si="37"/>
        <v>100</v>
      </c>
    </row>
    <row r="172" spans="1:16" ht="25.5">
      <c r="A172" s="6" t="s">
        <v>221</v>
      </c>
      <c r="B172" s="12" t="s">
        <v>164</v>
      </c>
      <c r="C172" s="12" t="s">
        <v>147</v>
      </c>
      <c r="D172" s="12" t="s">
        <v>268</v>
      </c>
      <c r="E172" s="12" t="s">
        <v>156</v>
      </c>
      <c r="F172" s="33"/>
      <c r="G172" s="34"/>
      <c r="H172" s="60" t="e">
        <f>#REF!</f>
        <v>#REF!</v>
      </c>
      <c r="I172" s="60" t="e">
        <f>#REF!</f>
        <v>#REF!</v>
      </c>
      <c r="J172" s="56" t="e">
        <f t="shared" si="39"/>
        <v>#REF!</v>
      </c>
      <c r="K172" s="60" t="e">
        <f>#REF!</f>
        <v>#REF!</v>
      </c>
      <c r="L172" s="60" t="e">
        <f>#REF!</f>
        <v>#REF!</v>
      </c>
      <c r="M172" s="60">
        <f>M173</f>
        <v>50</v>
      </c>
      <c r="N172" s="222">
        <f>N173</f>
        <v>500</v>
      </c>
      <c r="O172" s="222">
        <f>O173</f>
        <v>500</v>
      </c>
      <c r="P172" s="261">
        <f t="shared" si="37"/>
        <v>100</v>
      </c>
    </row>
    <row r="173" spans="1:16" ht="25.5">
      <c r="A173" s="38" t="s">
        <v>267</v>
      </c>
      <c r="B173" s="12" t="s">
        <v>164</v>
      </c>
      <c r="C173" s="12" t="s">
        <v>147</v>
      </c>
      <c r="D173" s="12" t="s">
        <v>268</v>
      </c>
      <c r="E173" s="39">
        <v>7950010</v>
      </c>
      <c r="F173" s="33"/>
      <c r="G173" s="34"/>
      <c r="H173" s="60">
        <f>H174</f>
        <v>10</v>
      </c>
      <c r="I173" s="60">
        <f>I174</f>
        <v>500</v>
      </c>
      <c r="J173" s="56">
        <f t="shared" si="39"/>
        <v>490</v>
      </c>
      <c r="K173" s="60">
        <f aca="true" t="shared" si="47" ref="K173:O174">K174</f>
        <v>300</v>
      </c>
      <c r="L173" s="60">
        <f t="shared" si="47"/>
        <v>300</v>
      </c>
      <c r="M173" s="60">
        <f t="shared" si="47"/>
        <v>50</v>
      </c>
      <c r="N173" s="222">
        <f t="shared" si="47"/>
        <v>500</v>
      </c>
      <c r="O173" s="222">
        <f t="shared" si="47"/>
        <v>500</v>
      </c>
      <c r="P173" s="261">
        <f t="shared" si="37"/>
        <v>100</v>
      </c>
    </row>
    <row r="174" spans="1:16" ht="28.5" customHeight="1">
      <c r="A174" s="6" t="s">
        <v>97</v>
      </c>
      <c r="B174" s="11" t="s">
        <v>164</v>
      </c>
      <c r="C174" s="12" t="s">
        <v>147</v>
      </c>
      <c r="D174" s="12" t="s">
        <v>268</v>
      </c>
      <c r="E174" s="39">
        <v>7950010</v>
      </c>
      <c r="F174" s="13" t="s">
        <v>323</v>
      </c>
      <c r="G174" s="34"/>
      <c r="H174" s="60">
        <f>H175</f>
        <v>10</v>
      </c>
      <c r="I174" s="60">
        <f>I175</f>
        <v>500</v>
      </c>
      <c r="J174" s="56">
        <f t="shared" si="39"/>
        <v>490</v>
      </c>
      <c r="K174" s="60">
        <f t="shared" si="47"/>
        <v>300</v>
      </c>
      <c r="L174" s="60">
        <f t="shared" si="47"/>
        <v>300</v>
      </c>
      <c r="M174" s="60">
        <f t="shared" si="47"/>
        <v>50</v>
      </c>
      <c r="N174" s="222">
        <f t="shared" si="47"/>
        <v>500</v>
      </c>
      <c r="O174" s="222">
        <f t="shared" si="47"/>
        <v>500</v>
      </c>
      <c r="P174" s="261">
        <f t="shared" si="37"/>
        <v>100</v>
      </c>
    </row>
    <row r="175" spans="1:33" s="23" customFormat="1" ht="14.25">
      <c r="A175" s="6" t="s">
        <v>209</v>
      </c>
      <c r="B175" s="11" t="s">
        <v>164</v>
      </c>
      <c r="C175" s="12" t="s">
        <v>147</v>
      </c>
      <c r="D175" s="12" t="s">
        <v>268</v>
      </c>
      <c r="E175" s="39">
        <v>7950010</v>
      </c>
      <c r="F175" s="13" t="s">
        <v>323</v>
      </c>
      <c r="G175" s="34">
        <v>3</v>
      </c>
      <c r="H175" s="60">
        <v>10</v>
      </c>
      <c r="I175" s="60">
        <v>500</v>
      </c>
      <c r="J175" s="56">
        <f t="shared" si="39"/>
        <v>490</v>
      </c>
      <c r="K175" s="60">
        <f>500-200</f>
        <v>300</v>
      </c>
      <c r="L175" s="60">
        <f>500-200</f>
        <v>300</v>
      </c>
      <c r="M175" s="60">
        <f>300-200-50</f>
        <v>50</v>
      </c>
      <c r="N175" s="222">
        <v>500</v>
      </c>
      <c r="O175" s="222">
        <v>500</v>
      </c>
      <c r="P175" s="261">
        <f t="shared" si="37"/>
        <v>100</v>
      </c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</row>
    <row r="176" spans="1:16" ht="14.25">
      <c r="A176" s="3" t="s">
        <v>36</v>
      </c>
      <c r="B176" s="12" t="s">
        <v>164</v>
      </c>
      <c r="C176" s="10" t="s">
        <v>148</v>
      </c>
      <c r="D176" s="10">
        <v>0</v>
      </c>
      <c r="E176" s="10">
        <v>0</v>
      </c>
      <c r="F176" s="10">
        <v>0</v>
      </c>
      <c r="G176" s="7"/>
      <c r="H176" s="58" t="e">
        <f>H177+H182+H221+H250</f>
        <v>#REF!</v>
      </c>
      <c r="I176" s="58" t="e">
        <f>I177+I182+I221+I250</f>
        <v>#REF!</v>
      </c>
      <c r="J176" s="56" t="e">
        <f t="shared" si="39"/>
        <v>#REF!</v>
      </c>
      <c r="K176" s="58" t="e">
        <f>K177+K182+K221+K250</f>
        <v>#REF!</v>
      </c>
      <c r="L176" s="58" t="e">
        <f>L177+L182+L221+L250</f>
        <v>#REF!</v>
      </c>
      <c r="M176" s="58" t="e">
        <f>M177+M182+M221+M250</f>
        <v>#REF!</v>
      </c>
      <c r="N176" s="217">
        <f>N177+N182+N221+N250</f>
        <v>19984.02084</v>
      </c>
      <c r="O176" s="217">
        <f>O177+O182+O221+O250</f>
        <v>21799.14193</v>
      </c>
      <c r="P176" s="261">
        <f t="shared" si="37"/>
        <v>109.0828622754779</v>
      </c>
    </row>
    <row r="177" spans="1:16" ht="14.25">
      <c r="A177" s="4" t="s">
        <v>54</v>
      </c>
      <c r="B177" s="12" t="s">
        <v>164</v>
      </c>
      <c r="C177" s="11" t="s">
        <v>148</v>
      </c>
      <c r="D177" s="11" t="s">
        <v>186</v>
      </c>
      <c r="E177" s="11">
        <v>0</v>
      </c>
      <c r="F177" s="11"/>
      <c r="G177" s="8"/>
      <c r="H177" s="58">
        <f aca="true" t="shared" si="48" ref="H177:I180">H178</f>
        <v>565</v>
      </c>
      <c r="I177" s="58">
        <f t="shared" si="48"/>
        <v>800</v>
      </c>
      <c r="J177" s="56">
        <f t="shared" si="39"/>
        <v>235</v>
      </c>
      <c r="K177" s="58">
        <f aca="true" t="shared" si="49" ref="K177:L180">K178</f>
        <v>800</v>
      </c>
      <c r="L177" s="58">
        <f t="shared" si="49"/>
        <v>800</v>
      </c>
      <c r="M177" s="58">
        <f aca="true" t="shared" si="50" ref="M177:O180">M178</f>
        <v>1560</v>
      </c>
      <c r="N177" s="217">
        <f t="shared" si="50"/>
        <v>1849.526</v>
      </c>
      <c r="O177" s="217">
        <f t="shared" si="50"/>
        <v>1849.52548</v>
      </c>
      <c r="P177" s="261">
        <f t="shared" si="37"/>
        <v>99.99997188468829</v>
      </c>
    </row>
    <row r="178" spans="1:16" ht="25.5">
      <c r="A178" s="5" t="s">
        <v>82</v>
      </c>
      <c r="B178" s="12" t="s">
        <v>164</v>
      </c>
      <c r="C178" s="11" t="s">
        <v>148</v>
      </c>
      <c r="D178" s="11" t="s">
        <v>186</v>
      </c>
      <c r="E178" s="12" t="s">
        <v>81</v>
      </c>
      <c r="F178" s="12"/>
      <c r="G178" s="9"/>
      <c r="H178" s="58">
        <f t="shared" si="48"/>
        <v>565</v>
      </c>
      <c r="I178" s="58">
        <f t="shared" si="48"/>
        <v>800</v>
      </c>
      <c r="J178" s="56">
        <f t="shared" si="39"/>
        <v>235</v>
      </c>
      <c r="K178" s="58">
        <f t="shared" si="49"/>
        <v>800</v>
      </c>
      <c r="L178" s="58">
        <f t="shared" si="49"/>
        <v>800</v>
      </c>
      <c r="M178" s="58">
        <f t="shared" si="50"/>
        <v>1560</v>
      </c>
      <c r="N178" s="217">
        <f t="shared" si="50"/>
        <v>1849.526</v>
      </c>
      <c r="O178" s="217">
        <f t="shared" si="50"/>
        <v>1849.52548</v>
      </c>
      <c r="P178" s="261">
        <f t="shared" si="37"/>
        <v>99.99997188468829</v>
      </c>
    </row>
    <row r="179" spans="1:16" ht="38.25">
      <c r="A179" s="5" t="s">
        <v>55</v>
      </c>
      <c r="B179" s="12" t="s">
        <v>164</v>
      </c>
      <c r="C179" s="11" t="s">
        <v>148</v>
      </c>
      <c r="D179" s="11" t="s">
        <v>186</v>
      </c>
      <c r="E179" s="12" t="s">
        <v>83</v>
      </c>
      <c r="F179" s="12"/>
      <c r="G179" s="9"/>
      <c r="H179" s="58">
        <f t="shared" si="48"/>
        <v>565</v>
      </c>
      <c r="I179" s="58">
        <f t="shared" si="48"/>
        <v>800</v>
      </c>
      <c r="J179" s="56">
        <f t="shared" si="39"/>
        <v>235</v>
      </c>
      <c r="K179" s="58">
        <f t="shared" si="49"/>
        <v>800</v>
      </c>
      <c r="L179" s="58">
        <f t="shared" si="49"/>
        <v>800</v>
      </c>
      <c r="M179" s="58">
        <f t="shared" si="50"/>
        <v>1560</v>
      </c>
      <c r="N179" s="217">
        <f t="shared" si="50"/>
        <v>1849.526</v>
      </c>
      <c r="O179" s="217">
        <f t="shared" si="50"/>
        <v>1849.52548</v>
      </c>
      <c r="P179" s="261">
        <f t="shared" si="37"/>
        <v>99.99997188468829</v>
      </c>
    </row>
    <row r="180" spans="1:16" ht="25.5">
      <c r="A180" s="6" t="s">
        <v>348</v>
      </c>
      <c r="B180" s="12" t="s">
        <v>164</v>
      </c>
      <c r="C180" s="11" t="s">
        <v>148</v>
      </c>
      <c r="D180" s="11" t="s">
        <v>186</v>
      </c>
      <c r="E180" s="12" t="s">
        <v>83</v>
      </c>
      <c r="F180" s="13" t="s">
        <v>347</v>
      </c>
      <c r="G180" s="34"/>
      <c r="H180" s="58">
        <f t="shared" si="48"/>
        <v>565</v>
      </c>
      <c r="I180" s="58">
        <f t="shared" si="48"/>
        <v>800</v>
      </c>
      <c r="J180" s="56">
        <f t="shared" si="39"/>
        <v>235</v>
      </c>
      <c r="K180" s="58">
        <f t="shared" si="49"/>
        <v>800</v>
      </c>
      <c r="L180" s="58">
        <f t="shared" si="49"/>
        <v>800</v>
      </c>
      <c r="M180" s="58">
        <f t="shared" si="50"/>
        <v>1560</v>
      </c>
      <c r="N180" s="217">
        <f t="shared" si="50"/>
        <v>1849.526</v>
      </c>
      <c r="O180" s="217">
        <f t="shared" si="50"/>
        <v>1849.52548</v>
      </c>
      <c r="P180" s="261">
        <f t="shared" si="37"/>
        <v>99.99997188468829</v>
      </c>
    </row>
    <row r="181" spans="1:33" s="23" customFormat="1" ht="14.25">
      <c r="A181" s="6" t="s">
        <v>209</v>
      </c>
      <c r="B181" s="12" t="s">
        <v>164</v>
      </c>
      <c r="C181" s="11" t="s">
        <v>148</v>
      </c>
      <c r="D181" s="11" t="s">
        <v>186</v>
      </c>
      <c r="E181" s="12" t="s">
        <v>83</v>
      </c>
      <c r="F181" s="13" t="s">
        <v>347</v>
      </c>
      <c r="G181" s="34">
        <v>3</v>
      </c>
      <c r="H181" s="84">
        <v>565</v>
      </c>
      <c r="I181" s="58">
        <f>850-50</f>
        <v>800</v>
      </c>
      <c r="J181" s="56">
        <f t="shared" si="39"/>
        <v>235</v>
      </c>
      <c r="K181" s="58">
        <f>850-50</f>
        <v>800</v>
      </c>
      <c r="L181" s="58">
        <f>850-50</f>
        <v>800</v>
      </c>
      <c r="M181" s="58">
        <v>1560</v>
      </c>
      <c r="N181" s="217">
        <f>2065-215.474</f>
        <v>1849.526</v>
      </c>
      <c r="O181" s="217">
        <v>1849.52548</v>
      </c>
      <c r="P181" s="261">
        <f t="shared" si="37"/>
        <v>99.99997188468829</v>
      </c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</row>
    <row r="182" spans="1:16" ht="14.25">
      <c r="A182" s="6" t="s">
        <v>16</v>
      </c>
      <c r="B182" s="13" t="s">
        <v>164</v>
      </c>
      <c r="C182" s="12" t="s">
        <v>148</v>
      </c>
      <c r="D182" s="12" t="s">
        <v>174</v>
      </c>
      <c r="E182" s="12"/>
      <c r="F182" s="13"/>
      <c r="G182" s="34"/>
      <c r="H182" s="55" t="e">
        <f>H187+#REF!+H206+H203+H213</f>
        <v>#REF!</v>
      </c>
      <c r="I182" s="55" t="e">
        <f>I187+#REF!+I206+I203+I213+I183+#REF!</f>
        <v>#REF!</v>
      </c>
      <c r="J182" s="56" t="e">
        <f t="shared" si="39"/>
        <v>#REF!</v>
      </c>
      <c r="K182" s="55" t="e">
        <f>K187+#REF!+K206+K203+K213+K183+#REF!</f>
        <v>#REF!</v>
      </c>
      <c r="L182" s="55" t="e">
        <f>L187+#REF!+L206+L203+L213+L183+#REF!</f>
        <v>#REF!</v>
      </c>
      <c r="M182" s="55" t="e">
        <f>M187+#REF!+M206+M203+M213+M183+#REF!</f>
        <v>#REF!</v>
      </c>
      <c r="N182" s="207">
        <f>N186+N206+N203+N213+N183+N217</f>
        <v>7704.3444</v>
      </c>
      <c r="O182" s="207">
        <f>O186+O206+O203+O213+O183+O217</f>
        <v>9642.5844</v>
      </c>
      <c r="P182" s="261">
        <f t="shared" si="37"/>
        <v>125.15775385119076</v>
      </c>
    </row>
    <row r="183" spans="1:16" ht="15" customHeight="1">
      <c r="A183" s="5" t="s">
        <v>104</v>
      </c>
      <c r="B183" s="13" t="s">
        <v>164</v>
      </c>
      <c r="C183" s="12" t="s">
        <v>148</v>
      </c>
      <c r="D183" s="12" t="s">
        <v>174</v>
      </c>
      <c r="E183" s="12" t="s">
        <v>103</v>
      </c>
      <c r="F183" s="13"/>
      <c r="G183" s="34"/>
      <c r="H183" s="55"/>
      <c r="I183" s="55">
        <f>I184</f>
        <v>0</v>
      </c>
      <c r="J183" s="56"/>
      <c r="K183" s="55">
        <f aca="true" t="shared" si="51" ref="K183:O184">K184</f>
        <v>0</v>
      </c>
      <c r="L183" s="55">
        <f t="shared" si="51"/>
        <v>0</v>
      </c>
      <c r="M183" s="55">
        <f t="shared" si="51"/>
        <v>0</v>
      </c>
      <c r="N183" s="207">
        <f t="shared" si="51"/>
        <v>25</v>
      </c>
      <c r="O183" s="207">
        <f t="shared" si="51"/>
        <v>25</v>
      </c>
      <c r="P183" s="261">
        <f t="shared" si="37"/>
        <v>100</v>
      </c>
    </row>
    <row r="184" spans="1:16" ht="39" customHeight="1">
      <c r="A184" s="6" t="s">
        <v>348</v>
      </c>
      <c r="B184" s="13" t="s">
        <v>164</v>
      </c>
      <c r="C184" s="12" t="s">
        <v>148</v>
      </c>
      <c r="D184" s="12" t="s">
        <v>174</v>
      </c>
      <c r="E184" s="12" t="s">
        <v>103</v>
      </c>
      <c r="F184" s="13" t="s">
        <v>347</v>
      </c>
      <c r="G184" s="34"/>
      <c r="H184" s="55"/>
      <c r="I184" s="55">
        <f>I185</f>
        <v>0</v>
      </c>
      <c r="J184" s="56"/>
      <c r="K184" s="55">
        <f t="shared" si="51"/>
        <v>0</v>
      </c>
      <c r="L184" s="55">
        <f t="shared" si="51"/>
        <v>0</v>
      </c>
      <c r="M184" s="55">
        <f t="shared" si="51"/>
        <v>0</v>
      </c>
      <c r="N184" s="207">
        <f t="shared" si="51"/>
        <v>25</v>
      </c>
      <c r="O184" s="207">
        <f t="shared" si="51"/>
        <v>25</v>
      </c>
      <c r="P184" s="261">
        <f t="shared" si="37"/>
        <v>100</v>
      </c>
    </row>
    <row r="185" spans="1:33" s="23" customFormat="1" ht="15" customHeight="1">
      <c r="A185" s="5" t="s">
        <v>209</v>
      </c>
      <c r="B185" s="13" t="s">
        <v>164</v>
      </c>
      <c r="C185" s="12" t="s">
        <v>148</v>
      </c>
      <c r="D185" s="12" t="s">
        <v>174</v>
      </c>
      <c r="E185" s="12" t="s">
        <v>103</v>
      </c>
      <c r="F185" s="13" t="s">
        <v>347</v>
      </c>
      <c r="G185" s="34">
        <v>3</v>
      </c>
      <c r="H185" s="55"/>
      <c r="I185" s="55"/>
      <c r="J185" s="56"/>
      <c r="K185" s="55"/>
      <c r="L185" s="55"/>
      <c r="M185" s="55"/>
      <c r="N185" s="207">
        <f>15+10</f>
        <v>25</v>
      </c>
      <c r="O185" s="207">
        <f>15+10</f>
        <v>25</v>
      </c>
      <c r="P185" s="261">
        <f t="shared" si="37"/>
        <v>100</v>
      </c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</row>
    <row r="186" spans="1:33" s="23" customFormat="1" ht="15" customHeight="1">
      <c r="A186" s="44" t="s">
        <v>198</v>
      </c>
      <c r="B186" s="43" t="s">
        <v>164</v>
      </c>
      <c r="C186" s="42" t="s">
        <v>148</v>
      </c>
      <c r="D186" s="42" t="s">
        <v>174</v>
      </c>
      <c r="E186" s="42" t="s">
        <v>199</v>
      </c>
      <c r="F186" s="43"/>
      <c r="G186" s="28"/>
      <c r="H186" s="57"/>
      <c r="I186" s="57"/>
      <c r="J186" s="56"/>
      <c r="K186" s="57"/>
      <c r="L186" s="57"/>
      <c r="M186" s="57"/>
      <c r="N186" s="213">
        <f>N187+N193+N198</f>
        <v>2441.858</v>
      </c>
      <c r="O186" s="213">
        <f>O187+O193+O198</f>
        <v>2441.858</v>
      </c>
      <c r="P186" s="261">
        <f t="shared" si="37"/>
        <v>100</v>
      </c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</row>
    <row r="187" spans="1:16" ht="25.5">
      <c r="A187" s="6" t="s">
        <v>290</v>
      </c>
      <c r="B187" s="13" t="s">
        <v>164</v>
      </c>
      <c r="C187" s="12" t="s">
        <v>148</v>
      </c>
      <c r="D187" s="12" t="s">
        <v>174</v>
      </c>
      <c r="E187" s="37" t="s">
        <v>291</v>
      </c>
      <c r="F187" s="13"/>
      <c r="G187" s="34"/>
      <c r="H187" s="55">
        <f>H188</f>
        <v>1224.292</v>
      </c>
      <c r="I187" s="55">
        <f>I188</f>
        <v>848.7</v>
      </c>
      <c r="J187" s="56">
        <f>I187-H187</f>
        <v>-375.59199999999987</v>
      </c>
      <c r="K187" s="55">
        <f aca="true" t="shared" si="52" ref="K187:O188">K188</f>
        <v>848.8000000000001</v>
      </c>
      <c r="L187" s="55">
        <f t="shared" si="52"/>
        <v>848.8000000000001</v>
      </c>
      <c r="M187" s="55">
        <f t="shared" si="52"/>
        <v>6086.8240000000005</v>
      </c>
      <c r="N187" s="207">
        <f t="shared" si="52"/>
        <v>1326.15</v>
      </c>
      <c r="O187" s="207">
        <f t="shared" si="52"/>
        <v>1326.15</v>
      </c>
      <c r="P187" s="261">
        <f t="shared" si="37"/>
        <v>100</v>
      </c>
    </row>
    <row r="188" spans="1:16" ht="25.5">
      <c r="A188" s="6" t="s">
        <v>69</v>
      </c>
      <c r="B188" s="13" t="s">
        <v>164</v>
      </c>
      <c r="C188" s="12" t="s">
        <v>148</v>
      </c>
      <c r="D188" s="12" t="s">
        <v>174</v>
      </c>
      <c r="E188" s="37" t="s">
        <v>292</v>
      </c>
      <c r="F188" s="13"/>
      <c r="G188" s="34"/>
      <c r="H188" s="55">
        <f>H189</f>
        <v>1224.292</v>
      </c>
      <c r="I188" s="55">
        <f>I189</f>
        <v>848.7</v>
      </c>
      <c r="J188" s="56">
        <f>I188-H188</f>
        <v>-375.59199999999987</v>
      </c>
      <c r="K188" s="55">
        <f t="shared" si="52"/>
        <v>848.8000000000001</v>
      </c>
      <c r="L188" s="55">
        <f t="shared" si="52"/>
        <v>848.8000000000001</v>
      </c>
      <c r="M188" s="55">
        <f t="shared" si="52"/>
        <v>6086.8240000000005</v>
      </c>
      <c r="N188" s="207">
        <f t="shared" si="52"/>
        <v>1326.15</v>
      </c>
      <c r="O188" s="207">
        <f t="shared" si="52"/>
        <v>1326.15</v>
      </c>
      <c r="P188" s="261">
        <f t="shared" si="37"/>
        <v>100</v>
      </c>
    </row>
    <row r="189" spans="1:16" ht="25.5">
      <c r="A189" s="6" t="s">
        <v>332</v>
      </c>
      <c r="B189" s="13" t="s">
        <v>164</v>
      </c>
      <c r="C189" s="12" t="s">
        <v>148</v>
      </c>
      <c r="D189" s="12" t="s">
        <v>174</v>
      </c>
      <c r="E189" s="37" t="s">
        <v>292</v>
      </c>
      <c r="F189" s="13" t="s">
        <v>331</v>
      </c>
      <c r="G189" s="34"/>
      <c r="H189" s="55">
        <f>H192</f>
        <v>1224.292</v>
      </c>
      <c r="I189" s="55">
        <f>I192</f>
        <v>848.7</v>
      </c>
      <c r="J189" s="56">
        <f>I189-H189</f>
        <v>-375.59199999999987</v>
      </c>
      <c r="K189" s="55">
        <f>K192</f>
        <v>848.8000000000001</v>
      </c>
      <c r="L189" s="55">
        <f>L192</f>
        <v>848.8000000000001</v>
      </c>
      <c r="M189" s="55">
        <f>M192+M190+M191</f>
        <v>6086.8240000000005</v>
      </c>
      <c r="N189" s="207">
        <f>N190+N191+N192</f>
        <v>1326.15</v>
      </c>
      <c r="O189" s="207">
        <f>O190+O191+O192</f>
        <v>1326.15</v>
      </c>
      <c r="P189" s="261">
        <f t="shared" si="37"/>
        <v>100</v>
      </c>
    </row>
    <row r="190" spans="1:16" ht="13.5" customHeight="1">
      <c r="A190" s="169" t="s">
        <v>210</v>
      </c>
      <c r="B190" s="13" t="s">
        <v>164</v>
      </c>
      <c r="C190" s="12" t="s">
        <v>148</v>
      </c>
      <c r="D190" s="12" t="s">
        <v>174</v>
      </c>
      <c r="E190" s="37" t="s">
        <v>292</v>
      </c>
      <c r="F190" s="13" t="s">
        <v>331</v>
      </c>
      <c r="G190" s="34">
        <v>1</v>
      </c>
      <c r="H190" s="56"/>
      <c r="I190" s="56"/>
      <c r="J190" s="56"/>
      <c r="K190" s="56"/>
      <c r="L190" s="56"/>
      <c r="M190" s="56">
        <v>1151.856</v>
      </c>
      <c r="N190" s="207">
        <v>464.153</v>
      </c>
      <c r="O190" s="207">
        <v>464.153</v>
      </c>
      <c r="P190" s="261">
        <f t="shared" si="37"/>
        <v>100</v>
      </c>
    </row>
    <row r="191" spans="1:16" ht="15" customHeight="1">
      <c r="A191" s="169" t="s">
        <v>211</v>
      </c>
      <c r="B191" s="13" t="s">
        <v>164</v>
      </c>
      <c r="C191" s="12" t="s">
        <v>148</v>
      </c>
      <c r="D191" s="12" t="s">
        <v>174</v>
      </c>
      <c r="E191" s="37" t="s">
        <v>292</v>
      </c>
      <c r="F191" s="13" t="s">
        <v>331</v>
      </c>
      <c r="G191" s="34">
        <v>2</v>
      </c>
      <c r="H191" s="56"/>
      <c r="I191" s="56"/>
      <c r="J191" s="56"/>
      <c r="K191" s="56"/>
      <c r="L191" s="56"/>
      <c r="M191" s="56">
        <v>4573.323</v>
      </c>
      <c r="N191" s="207">
        <v>583.506</v>
      </c>
      <c r="O191" s="207">
        <v>583.506</v>
      </c>
      <c r="P191" s="261">
        <f t="shared" si="37"/>
        <v>100</v>
      </c>
    </row>
    <row r="192" spans="1:33" s="23" customFormat="1" ht="14.25">
      <c r="A192" s="5" t="s">
        <v>209</v>
      </c>
      <c r="B192" s="13" t="s">
        <v>164</v>
      </c>
      <c r="C192" s="12" t="s">
        <v>148</v>
      </c>
      <c r="D192" s="12" t="s">
        <v>174</v>
      </c>
      <c r="E192" s="37" t="s">
        <v>292</v>
      </c>
      <c r="F192" s="13" t="s">
        <v>331</v>
      </c>
      <c r="G192" s="34">
        <v>3</v>
      </c>
      <c r="H192" s="79">
        <v>1224.292</v>
      </c>
      <c r="I192" s="56">
        <v>848.7</v>
      </c>
      <c r="J192" s="56">
        <f>I192-H192</f>
        <v>-375.59199999999987</v>
      </c>
      <c r="K192" s="56">
        <f>848.7+0.1</f>
        <v>848.8000000000001</v>
      </c>
      <c r="L192" s="56">
        <f>848.7+0.1</f>
        <v>848.8000000000001</v>
      </c>
      <c r="M192" s="56">
        <f>1500-400-300-400-38.355</f>
        <v>361.645</v>
      </c>
      <c r="N192" s="207">
        <f>306.4-27.909</f>
        <v>278.491</v>
      </c>
      <c r="O192" s="207">
        <f>306.4-27.909</f>
        <v>278.491</v>
      </c>
      <c r="P192" s="261">
        <f t="shared" si="37"/>
        <v>100</v>
      </c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</row>
    <row r="193" spans="1:16" ht="43.5" customHeight="1">
      <c r="A193" s="44" t="s">
        <v>289</v>
      </c>
      <c r="B193" s="12" t="s">
        <v>164</v>
      </c>
      <c r="C193" s="11" t="s">
        <v>148</v>
      </c>
      <c r="D193" s="11" t="s">
        <v>174</v>
      </c>
      <c r="E193" s="12" t="s">
        <v>197</v>
      </c>
      <c r="F193" s="13"/>
      <c r="G193" s="34"/>
      <c r="H193" s="56" t="e">
        <f>#REF!+#REF!</f>
        <v>#REF!</v>
      </c>
      <c r="I193" s="56" t="e">
        <f>#REF!+#REF!</f>
        <v>#REF!</v>
      </c>
      <c r="J193" s="56" t="e">
        <f>I193-H193</f>
        <v>#REF!</v>
      </c>
      <c r="K193" s="56" t="e">
        <f>#REF!+#REF!</f>
        <v>#REF!</v>
      </c>
      <c r="L193" s="56" t="e">
        <f>#REF!+#REF!</f>
        <v>#REF!</v>
      </c>
      <c r="M193" s="56" t="e">
        <f>#REF!+#REF!+M194</f>
        <v>#REF!</v>
      </c>
      <c r="N193" s="208">
        <f>N194</f>
        <v>0</v>
      </c>
      <c r="O193" s="208">
        <f>O194</f>
        <v>0</v>
      </c>
      <c r="P193" s="261"/>
    </row>
    <row r="194" spans="1:33" s="23" customFormat="1" ht="25.5">
      <c r="A194" s="6" t="s">
        <v>332</v>
      </c>
      <c r="B194" s="12" t="s">
        <v>164</v>
      </c>
      <c r="C194" s="11" t="s">
        <v>148</v>
      </c>
      <c r="D194" s="11" t="s">
        <v>174</v>
      </c>
      <c r="E194" s="12" t="s">
        <v>197</v>
      </c>
      <c r="F194" s="13" t="s">
        <v>331</v>
      </c>
      <c r="G194" s="34"/>
      <c r="H194" s="56"/>
      <c r="I194" s="79"/>
      <c r="J194" s="56"/>
      <c r="K194" s="79"/>
      <c r="L194" s="79"/>
      <c r="M194" s="79">
        <f>M195+M196+M197</f>
        <v>100</v>
      </c>
      <c r="N194" s="223">
        <f>N195+N196+N197</f>
        <v>0</v>
      </c>
      <c r="O194" s="223">
        <f>O195+O196+O197</f>
        <v>0</v>
      </c>
      <c r="P194" s="261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</row>
    <row r="195" spans="1:33" s="23" customFormat="1" ht="14.25">
      <c r="A195" s="6" t="s">
        <v>210</v>
      </c>
      <c r="B195" s="12" t="s">
        <v>164</v>
      </c>
      <c r="C195" s="11" t="s">
        <v>148</v>
      </c>
      <c r="D195" s="11" t="s">
        <v>174</v>
      </c>
      <c r="E195" s="12" t="s">
        <v>197</v>
      </c>
      <c r="F195" s="13" t="s">
        <v>331</v>
      </c>
      <c r="G195" s="34">
        <v>1</v>
      </c>
      <c r="H195" s="56"/>
      <c r="I195" s="79"/>
      <c r="J195" s="56"/>
      <c r="K195" s="79"/>
      <c r="L195" s="79"/>
      <c r="M195" s="79"/>
      <c r="N195" s="208"/>
      <c r="O195" s="208"/>
      <c r="P195" s="261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</row>
    <row r="196" spans="1:33" s="23" customFormat="1" ht="14.25">
      <c r="A196" s="6" t="s">
        <v>211</v>
      </c>
      <c r="B196" s="12" t="s">
        <v>164</v>
      </c>
      <c r="C196" s="11" t="s">
        <v>148</v>
      </c>
      <c r="D196" s="11" t="s">
        <v>174</v>
      </c>
      <c r="E196" s="12" t="s">
        <v>197</v>
      </c>
      <c r="F196" s="13" t="s">
        <v>331</v>
      </c>
      <c r="G196" s="34">
        <v>2</v>
      </c>
      <c r="H196" s="56"/>
      <c r="I196" s="79"/>
      <c r="J196" s="56"/>
      <c r="K196" s="79"/>
      <c r="L196" s="79"/>
      <c r="M196" s="79"/>
      <c r="N196" s="208"/>
      <c r="O196" s="208"/>
      <c r="P196" s="261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</row>
    <row r="197" spans="1:33" s="23" customFormat="1" ht="14.25">
      <c r="A197" s="6" t="s">
        <v>209</v>
      </c>
      <c r="B197" s="12" t="s">
        <v>164</v>
      </c>
      <c r="C197" s="11" t="s">
        <v>148</v>
      </c>
      <c r="D197" s="11" t="s">
        <v>174</v>
      </c>
      <c r="E197" s="12" t="s">
        <v>197</v>
      </c>
      <c r="F197" s="13" t="s">
        <v>331</v>
      </c>
      <c r="G197" s="34">
        <v>3</v>
      </c>
      <c r="H197" s="56"/>
      <c r="I197" s="79"/>
      <c r="J197" s="56"/>
      <c r="K197" s="79"/>
      <c r="L197" s="79"/>
      <c r="M197" s="79">
        <f>100</f>
        <v>100</v>
      </c>
      <c r="N197" s="223">
        <f>100-100</f>
        <v>0</v>
      </c>
      <c r="O197" s="223">
        <f>100-100</f>
        <v>0</v>
      </c>
      <c r="P197" s="261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</row>
    <row r="198" spans="1:16" ht="53.25" customHeight="1">
      <c r="A198" s="44" t="s">
        <v>433</v>
      </c>
      <c r="B198" s="12" t="s">
        <v>164</v>
      </c>
      <c r="C198" s="11" t="s">
        <v>148</v>
      </c>
      <c r="D198" s="11" t="s">
        <v>174</v>
      </c>
      <c r="E198" s="37" t="s">
        <v>434</v>
      </c>
      <c r="F198" s="13"/>
      <c r="G198" s="34"/>
      <c r="H198" s="56" t="e">
        <f>#REF!+#REF!</f>
        <v>#REF!</v>
      </c>
      <c r="I198" s="56" t="e">
        <f>#REF!+#REF!</f>
        <v>#REF!</v>
      </c>
      <c r="J198" s="56" t="e">
        <f>I198-H198</f>
        <v>#REF!</v>
      </c>
      <c r="K198" s="56" t="e">
        <f>#REF!+#REF!</f>
        <v>#REF!</v>
      </c>
      <c r="L198" s="56" t="e">
        <f>#REF!+#REF!</f>
        <v>#REF!</v>
      </c>
      <c r="M198" s="56" t="e">
        <f>#REF!+#REF!+M199</f>
        <v>#REF!</v>
      </c>
      <c r="N198" s="208">
        <f>N199</f>
        <v>1115.708</v>
      </c>
      <c r="O198" s="208">
        <f>O199</f>
        <v>1115.708</v>
      </c>
      <c r="P198" s="261">
        <f t="shared" si="37"/>
        <v>100</v>
      </c>
    </row>
    <row r="199" spans="1:33" s="23" customFormat="1" ht="25.5">
      <c r="A199" s="6" t="s">
        <v>332</v>
      </c>
      <c r="B199" s="12" t="s">
        <v>164</v>
      </c>
      <c r="C199" s="11" t="s">
        <v>148</v>
      </c>
      <c r="D199" s="11" t="s">
        <v>174</v>
      </c>
      <c r="E199" s="37" t="s">
        <v>434</v>
      </c>
      <c r="F199" s="13" t="s">
        <v>331</v>
      </c>
      <c r="G199" s="34"/>
      <c r="H199" s="56"/>
      <c r="I199" s="79"/>
      <c r="J199" s="56"/>
      <c r="K199" s="79"/>
      <c r="L199" s="79"/>
      <c r="M199" s="79">
        <f>M200+M201+M202</f>
        <v>100</v>
      </c>
      <c r="N199" s="223">
        <f>N200+N201+N202</f>
        <v>1115.708</v>
      </c>
      <c r="O199" s="223">
        <f>O200+O201+O202</f>
        <v>1115.708</v>
      </c>
      <c r="P199" s="261">
        <f t="shared" si="37"/>
        <v>100</v>
      </c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</row>
    <row r="200" spans="1:16" s="176" customFormat="1" ht="14.25">
      <c r="A200" s="170" t="s">
        <v>210</v>
      </c>
      <c r="B200" s="172" t="s">
        <v>164</v>
      </c>
      <c r="C200" s="180" t="s">
        <v>148</v>
      </c>
      <c r="D200" s="180" t="s">
        <v>174</v>
      </c>
      <c r="E200" s="124" t="s">
        <v>434</v>
      </c>
      <c r="F200" s="171" t="s">
        <v>331</v>
      </c>
      <c r="G200" s="174">
        <v>1</v>
      </c>
      <c r="H200" s="175"/>
      <c r="I200" s="181"/>
      <c r="J200" s="175"/>
      <c r="K200" s="181"/>
      <c r="L200" s="181"/>
      <c r="M200" s="181"/>
      <c r="N200" s="220">
        <v>578.99</v>
      </c>
      <c r="O200" s="220">
        <v>578.99</v>
      </c>
      <c r="P200" s="261">
        <f t="shared" si="37"/>
        <v>100</v>
      </c>
    </row>
    <row r="201" spans="1:16" s="176" customFormat="1" ht="14.25">
      <c r="A201" s="170" t="s">
        <v>211</v>
      </c>
      <c r="B201" s="172" t="s">
        <v>164</v>
      </c>
      <c r="C201" s="180" t="s">
        <v>148</v>
      </c>
      <c r="D201" s="180" t="s">
        <v>174</v>
      </c>
      <c r="E201" s="124" t="s">
        <v>434</v>
      </c>
      <c r="F201" s="171" t="s">
        <v>331</v>
      </c>
      <c r="G201" s="174">
        <v>2</v>
      </c>
      <c r="H201" s="175"/>
      <c r="I201" s="181"/>
      <c r="J201" s="175"/>
      <c r="K201" s="181"/>
      <c r="L201" s="181"/>
      <c r="M201" s="181"/>
      <c r="N201" s="220">
        <v>323.38</v>
      </c>
      <c r="O201" s="220">
        <v>323.38</v>
      </c>
      <c r="P201" s="261">
        <f t="shared" si="37"/>
        <v>100</v>
      </c>
    </row>
    <row r="202" spans="1:16" s="176" customFormat="1" ht="14.25">
      <c r="A202" s="170" t="s">
        <v>209</v>
      </c>
      <c r="B202" s="172" t="s">
        <v>164</v>
      </c>
      <c r="C202" s="180" t="s">
        <v>148</v>
      </c>
      <c r="D202" s="180" t="s">
        <v>174</v>
      </c>
      <c r="E202" s="124" t="s">
        <v>434</v>
      </c>
      <c r="F202" s="171" t="s">
        <v>331</v>
      </c>
      <c r="G202" s="174">
        <v>3</v>
      </c>
      <c r="H202" s="175"/>
      <c r="I202" s="181"/>
      <c r="J202" s="175"/>
      <c r="K202" s="181"/>
      <c r="L202" s="181"/>
      <c r="M202" s="181">
        <f>100</f>
        <v>100</v>
      </c>
      <c r="N202" s="220">
        <f>100+113.338</f>
        <v>213.338</v>
      </c>
      <c r="O202" s="220">
        <f>100+113.338</f>
        <v>213.338</v>
      </c>
      <c r="P202" s="261">
        <f t="shared" si="37"/>
        <v>100</v>
      </c>
    </row>
    <row r="203" spans="1:33" s="76" customFormat="1" ht="76.5">
      <c r="A203" s="6" t="s">
        <v>364</v>
      </c>
      <c r="B203" s="12" t="s">
        <v>164</v>
      </c>
      <c r="C203" s="11" t="s">
        <v>148</v>
      </c>
      <c r="D203" s="11" t="s">
        <v>174</v>
      </c>
      <c r="E203" s="12" t="s">
        <v>237</v>
      </c>
      <c r="F203" s="13"/>
      <c r="G203" s="34"/>
      <c r="H203" s="56">
        <f>H204</f>
        <v>869.4</v>
      </c>
      <c r="I203" s="56">
        <f>I204</f>
        <v>0</v>
      </c>
      <c r="J203" s="56">
        <f>I203-H203</f>
        <v>-869.4</v>
      </c>
      <c r="K203" s="56">
        <f aca="true" t="shared" si="53" ref="K203:O204">K204</f>
        <v>4347</v>
      </c>
      <c r="L203" s="56">
        <f t="shared" si="53"/>
        <v>4347</v>
      </c>
      <c r="M203" s="56">
        <f t="shared" si="53"/>
        <v>4446</v>
      </c>
      <c r="N203" s="208">
        <f t="shared" si="53"/>
        <v>4577.4864</v>
      </c>
      <c r="O203" s="208">
        <f t="shared" si="53"/>
        <v>6515.7264</v>
      </c>
      <c r="P203" s="261">
        <f t="shared" si="37"/>
        <v>142.3428893202173</v>
      </c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</row>
    <row r="204" spans="1:33" s="76" customFormat="1" ht="25.5">
      <c r="A204" s="6" t="s">
        <v>332</v>
      </c>
      <c r="B204" s="12" t="s">
        <v>164</v>
      </c>
      <c r="C204" s="11" t="s">
        <v>148</v>
      </c>
      <c r="D204" s="11" t="s">
        <v>174</v>
      </c>
      <c r="E204" s="12" t="s">
        <v>237</v>
      </c>
      <c r="F204" s="13" t="s">
        <v>331</v>
      </c>
      <c r="G204" s="34"/>
      <c r="H204" s="56">
        <f>H205</f>
        <v>869.4</v>
      </c>
      <c r="I204" s="56">
        <f>I205</f>
        <v>0</v>
      </c>
      <c r="J204" s="56">
        <f>I204-H204</f>
        <v>-869.4</v>
      </c>
      <c r="K204" s="56">
        <f t="shared" si="53"/>
        <v>4347</v>
      </c>
      <c r="L204" s="56">
        <f t="shared" si="53"/>
        <v>4347</v>
      </c>
      <c r="M204" s="56">
        <f t="shared" si="53"/>
        <v>4446</v>
      </c>
      <c r="N204" s="208">
        <f t="shared" si="53"/>
        <v>4577.4864</v>
      </c>
      <c r="O204" s="208">
        <f t="shared" si="53"/>
        <v>6515.7264</v>
      </c>
      <c r="P204" s="261">
        <f aca="true" t="shared" si="54" ref="P204:P267">O204/N204*100</f>
        <v>142.3428893202173</v>
      </c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</row>
    <row r="205" spans="1:33" s="76" customFormat="1" ht="14.25">
      <c r="A205" s="5" t="s">
        <v>210</v>
      </c>
      <c r="B205" s="12" t="s">
        <v>164</v>
      </c>
      <c r="C205" s="11" t="s">
        <v>148</v>
      </c>
      <c r="D205" s="11" t="s">
        <v>174</v>
      </c>
      <c r="E205" s="12" t="s">
        <v>237</v>
      </c>
      <c r="F205" s="13" t="s">
        <v>331</v>
      </c>
      <c r="G205" s="34">
        <v>1</v>
      </c>
      <c r="H205" s="56">
        <v>869.4</v>
      </c>
      <c r="I205" s="56"/>
      <c r="J205" s="56">
        <f>I205-H205</f>
        <v>-869.4</v>
      </c>
      <c r="K205" s="56">
        <f>3477.6+869.4</f>
        <v>4347</v>
      </c>
      <c r="L205" s="56">
        <f>3477.6+869.4</f>
        <v>4347</v>
      </c>
      <c r="M205" s="56">
        <f>4446</f>
        <v>4446</v>
      </c>
      <c r="N205" s="208">
        <f>3657.6+919.8864</f>
        <v>4577.4864</v>
      </c>
      <c r="O205" s="208">
        <v>6515.7264</v>
      </c>
      <c r="P205" s="261">
        <f t="shared" si="54"/>
        <v>142.3428893202173</v>
      </c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</row>
    <row r="206" spans="1:16" ht="14.25">
      <c r="A206" s="5" t="s">
        <v>84</v>
      </c>
      <c r="B206" s="12" t="s">
        <v>164</v>
      </c>
      <c r="C206" s="11" t="s">
        <v>148</v>
      </c>
      <c r="D206" s="11" t="s">
        <v>174</v>
      </c>
      <c r="E206" s="12" t="s">
        <v>73</v>
      </c>
      <c r="F206" s="12"/>
      <c r="G206" s="34"/>
      <c r="H206" s="58">
        <f>H207+H210</f>
        <v>102</v>
      </c>
      <c r="I206" s="58">
        <f>I207+I210</f>
        <v>114</v>
      </c>
      <c r="J206" s="56">
        <f aca="true" t="shared" si="55" ref="J206:J244">I206-H206</f>
        <v>12</v>
      </c>
      <c r="K206" s="58">
        <f>K207+K210</f>
        <v>114</v>
      </c>
      <c r="L206" s="58">
        <f>L207+L210</f>
        <v>114</v>
      </c>
      <c r="M206" s="58">
        <f>M207+M210</f>
        <v>266</v>
      </c>
      <c r="N206" s="217">
        <f>N207+N210</f>
        <v>290</v>
      </c>
      <c r="O206" s="217">
        <f>O207+O210</f>
        <v>290</v>
      </c>
      <c r="P206" s="261">
        <f t="shared" si="54"/>
        <v>100</v>
      </c>
    </row>
    <row r="207" spans="1:16" ht="28.5" customHeight="1">
      <c r="A207" s="107" t="s">
        <v>159</v>
      </c>
      <c r="B207" s="12" t="s">
        <v>164</v>
      </c>
      <c r="C207" s="11" t="s">
        <v>148</v>
      </c>
      <c r="D207" s="11" t="s">
        <v>174</v>
      </c>
      <c r="E207" s="12" t="s">
        <v>200</v>
      </c>
      <c r="F207" s="12"/>
      <c r="G207" s="34"/>
      <c r="H207" s="58">
        <f>H208</f>
        <v>42</v>
      </c>
      <c r="I207" s="58">
        <f>I208</f>
        <v>54</v>
      </c>
      <c r="J207" s="56">
        <f t="shared" si="55"/>
        <v>12</v>
      </c>
      <c r="K207" s="58">
        <f aca="true" t="shared" si="56" ref="K207:O208">K208</f>
        <v>54</v>
      </c>
      <c r="L207" s="58">
        <f t="shared" si="56"/>
        <v>54</v>
      </c>
      <c r="M207" s="58">
        <f t="shared" si="56"/>
        <v>200</v>
      </c>
      <c r="N207" s="217">
        <f t="shared" si="56"/>
        <v>248</v>
      </c>
      <c r="O207" s="217">
        <f t="shared" si="56"/>
        <v>248</v>
      </c>
      <c r="P207" s="261">
        <f t="shared" si="54"/>
        <v>100</v>
      </c>
    </row>
    <row r="208" spans="1:16" ht="25.5">
      <c r="A208" s="6" t="s">
        <v>348</v>
      </c>
      <c r="B208" s="12" t="s">
        <v>164</v>
      </c>
      <c r="C208" s="11" t="s">
        <v>148</v>
      </c>
      <c r="D208" s="11" t="s">
        <v>174</v>
      </c>
      <c r="E208" s="12" t="s">
        <v>200</v>
      </c>
      <c r="F208" s="13" t="s">
        <v>347</v>
      </c>
      <c r="G208" s="34"/>
      <c r="H208" s="58">
        <f>H209</f>
        <v>42</v>
      </c>
      <c r="I208" s="58">
        <f>I209</f>
        <v>54</v>
      </c>
      <c r="J208" s="56">
        <f t="shared" si="55"/>
        <v>12</v>
      </c>
      <c r="K208" s="58">
        <f t="shared" si="56"/>
        <v>54</v>
      </c>
      <c r="L208" s="58">
        <f t="shared" si="56"/>
        <v>54</v>
      </c>
      <c r="M208" s="58">
        <f t="shared" si="56"/>
        <v>200</v>
      </c>
      <c r="N208" s="217">
        <f t="shared" si="56"/>
        <v>248</v>
      </c>
      <c r="O208" s="217">
        <f t="shared" si="56"/>
        <v>248</v>
      </c>
      <c r="P208" s="261">
        <f t="shared" si="54"/>
        <v>100</v>
      </c>
    </row>
    <row r="209" spans="1:33" s="23" customFormat="1" ht="14.25">
      <c r="A209" s="6" t="s">
        <v>209</v>
      </c>
      <c r="B209" s="12" t="s">
        <v>164</v>
      </c>
      <c r="C209" s="11" t="s">
        <v>148</v>
      </c>
      <c r="D209" s="11" t="s">
        <v>174</v>
      </c>
      <c r="E209" s="12" t="s">
        <v>200</v>
      </c>
      <c r="F209" s="13" t="s">
        <v>347</v>
      </c>
      <c r="G209" s="34">
        <v>3</v>
      </c>
      <c r="H209" s="58">
        <v>42</v>
      </c>
      <c r="I209" s="58">
        <v>54</v>
      </c>
      <c r="J209" s="56">
        <f t="shared" si="55"/>
        <v>12</v>
      </c>
      <c r="K209" s="58">
        <v>54</v>
      </c>
      <c r="L209" s="58">
        <v>54</v>
      </c>
      <c r="M209" s="58">
        <f>300-100</f>
        <v>200</v>
      </c>
      <c r="N209" s="217">
        <f>200+48</f>
        <v>248</v>
      </c>
      <c r="O209" s="217">
        <f>200+48</f>
        <v>248</v>
      </c>
      <c r="P209" s="261">
        <f t="shared" si="54"/>
        <v>100</v>
      </c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</row>
    <row r="210" spans="1:16" ht="26.25" customHeight="1">
      <c r="A210" s="6" t="s">
        <v>202</v>
      </c>
      <c r="B210" s="12" t="s">
        <v>164</v>
      </c>
      <c r="C210" s="11" t="s">
        <v>148</v>
      </c>
      <c r="D210" s="11" t="s">
        <v>174</v>
      </c>
      <c r="E210" s="12" t="s">
        <v>201</v>
      </c>
      <c r="F210" s="13"/>
      <c r="G210" s="34"/>
      <c r="H210" s="58">
        <f>H211</f>
        <v>60</v>
      </c>
      <c r="I210" s="58">
        <f>I211</f>
        <v>60</v>
      </c>
      <c r="J210" s="56">
        <f t="shared" si="55"/>
        <v>0</v>
      </c>
      <c r="K210" s="58">
        <f aca="true" t="shared" si="57" ref="K210:M211">K211</f>
        <v>60</v>
      </c>
      <c r="L210" s="58">
        <f t="shared" si="57"/>
        <v>60</v>
      </c>
      <c r="M210" s="58">
        <f t="shared" si="57"/>
        <v>66</v>
      </c>
      <c r="N210" s="217">
        <f>N211</f>
        <v>42</v>
      </c>
      <c r="O210" s="217">
        <f>O211</f>
        <v>42</v>
      </c>
      <c r="P210" s="261">
        <f t="shared" si="54"/>
        <v>100</v>
      </c>
    </row>
    <row r="211" spans="1:16" ht="25.5">
      <c r="A211" s="105" t="s">
        <v>330</v>
      </c>
      <c r="B211" s="12" t="s">
        <v>164</v>
      </c>
      <c r="C211" s="11" t="s">
        <v>148</v>
      </c>
      <c r="D211" s="11" t="s">
        <v>174</v>
      </c>
      <c r="E211" s="12" t="s">
        <v>201</v>
      </c>
      <c r="F211" s="13" t="s">
        <v>280</v>
      </c>
      <c r="G211" s="34"/>
      <c r="H211" s="58">
        <f>H212</f>
        <v>60</v>
      </c>
      <c r="I211" s="58">
        <f>I212</f>
        <v>60</v>
      </c>
      <c r="J211" s="56">
        <f t="shared" si="55"/>
        <v>0</v>
      </c>
      <c r="K211" s="58">
        <f t="shared" si="57"/>
        <v>60</v>
      </c>
      <c r="L211" s="58">
        <f t="shared" si="57"/>
        <v>60</v>
      </c>
      <c r="M211" s="58">
        <f t="shared" si="57"/>
        <v>66</v>
      </c>
      <c r="N211" s="217">
        <f>N212</f>
        <v>42</v>
      </c>
      <c r="O211" s="217">
        <f>O212</f>
        <v>42</v>
      </c>
      <c r="P211" s="261">
        <f t="shared" si="54"/>
        <v>100</v>
      </c>
    </row>
    <row r="212" spans="1:33" s="23" customFormat="1" ht="14.25">
      <c r="A212" s="6" t="s">
        <v>209</v>
      </c>
      <c r="B212" s="12" t="s">
        <v>164</v>
      </c>
      <c r="C212" s="11" t="s">
        <v>148</v>
      </c>
      <c r="D212" s="11" t="s">
        <v>174</v>
      </c>
      <c r="E212" s="12" t="s">
        <v>201</v>
      </c>
      <c r="F212" s="13" t="s">
        <v>280</v>
      </c>
      <c r="G212" s="34">
        <v>3</v>
      </c>
      <c r="H212" s="58">
        <v>60</v>
      </c>
      <c r="I212" s="58">
        <v>60</v>
      </c>
      <c r="J212" s="56">
        <f t="shared" si="55"/>
        <v>0</v>
      </c>
      <c r="K212" s="58">
        <v>60</v>
      </c>
      <c r="L212" s="58">
        <v>60</v>
      </c>
      <c r="M212" s="58">
        <v>66</v>
      </c>
      <c r="N212" s="217">
        <f>66-24</f>
        <v>42</v>
      </c>
      <c r="O212" s="217">
        <f>66-24</f>
        <v>42</v>
      </c>
      <c r="P212" s="261">
        <f t="shared" si="54"/>
        <v>100</v>
      </c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</row>
    <row r="213" spans="1:16" ht="28.5">
      <c r="A213" s="48" t="s">
        <v>157</v>
      </c>
      <c r="B213" s="11" t="s">
        <v>164</v>
      </c>
      <c r="C213" s="11" t="s">
        <v>148</v>
      </c>
      <c r="D213" s="10" t="s">
        <v>174</v>
      </c>
      <c r="E213" s="49" t="s">
        <v>158</v>
      </c>
      <c r="F213" s="49"/>
      <c r="G213" s="34"/>
      <c r="H213" s="55">
        <f aca="true" t="shared" si="58" ref="H213:I215">H214</f>
        <v>1000</v>
      </c>
      <c r="I213" s="55">
        <f t="shared" si="58"/>
        <v>600</v>
      </c>
      <c r="J213" s="56">
        <f t="shared" si="55"/>
        <v>-400</v>
      </c>
      <c r="K213" s="55">
        <f aca="true" t="shared" si="59" ref="K213:L215">K214</f>
        <v>600</v>
      </c>
      <c r="L213" s="55">
        <f t="shared" si="59"/>
        <v>600</v>
      </c>
      <c r="M213" s="55">
        <f aca="true" t="shared" si="60" ref="M213:O215">M214</f>
        <v>300</v>
      </c>
      <c r="N213" s="207">
        <f t="shared" si="60"/>
        <v>20</v>
      </c>
      <c r="O213" s="207">
        <f t="shared" si="60"/>
        <v>20</v>
      </c>
      <c r="P213" s="261">
        <f t="shared" si="54"/>
        <v>100</v>
      </c>
    </row>
    <row r="214" spans="1:16" ht="28.5">
      <c r="A214" s="48" t="s">
        <v>159</v>
      </c>
      <c r="B214" s="12" t="s">
        <v>164</v>
      </c>
      <c r="C214" s="11" t="s">
        <v>148</v>
      </c>
      <c r="D214" s="10" t="s">
        <v>174</v>
      </c>
      <c r="E214" s="49" t="s">
        <v>160</v>
      </c>
      <c r="F214" s="49"/>
      <c r="G214" s="34"/>
      <c r="H214" s="55">
        <f t="shared" si="58"/>
        <v>1000</v>
      </c>
      <c r="I214" s="55">
        <f t="shared" si="58"/>
        <v>600</v>
      </c>
      <c r="J214" s="56">
        <f t="shared" si="55"/>
        <v>-400</v>
      </c>
      <c r="K214" s="55">
        <f t="shared" si="59"/>
        <v>600</v>
      </c>
      <c r="L214" s="55">
        <f t="shared" si="59"/>
        <v>600</v>
      </c>
      <c r="M214" s="55">
        <f t="shared" si="60"/>
        <v>300</v>
      </c>
      <c r="N214" s="207">
        <f t="shared" si="60"/>
        <v>20</v>
      </c>
      <c r="O214" s="207">
        <f t="shared" si="60"/>
        <v>20</v>
      </c>
      <c r="P214" s="261">
        <f t="shared" si="54"/>
        <v>100</v>
      </c>
    </row>
    <row r="215" spans="1:16" ht="25.5">
      <c r="A215" s="105" t="s">
        <v>330</v>
      </c>
      <c r="B215" s="12" t="s">
        <v>164</v>
      </c>
      <c r="C215" s="11" t="s">
        <v>148</v>
      </c>
      <c r="D215" s="10" t="s">
        <v>174</v>
      </c>
      <c r="E215" s="49" t="s">
        <v>160</v>
      </c>
      <c r="F215" s="49" t="s">
        <v>280</v>
      </c>
      <c r="G215" s="34"/>
      <c r="H215" s="55">
        <f t="shared" si="58"/>
        <v>1000</v>
      </c>
      <c r="I215" s="55">
        <f t="shared" si="58"/>
        <v>600</v>
      </c>
      <c r="J215" s="56">
        <f t="shared" si="55"/>
        <v>-400</v>
      </c>
      <c r="K215" s="55">
        <f t="shared" si="59"/>
        <v>600</v>
      </c>
      <c r="L215" s="55">
        <f t="shared" si="59"/>
        <v>600</v>
      </c>
      <c r="M215" s="55">
        <f t="shared" si="60"/>
        <v>300</v>
      </c>
      <c r="N215" s="207">
        <f t="shared" si="60"/>
        <v>20</v>
      </c>
      <c r="O215" s="207">
        <f t="shared" si="60"/>
        <v>20</v>
      </c>
      <c r="P215" s="261">
        <f t="shared" si="54"/>
        <v>100</v>
      </c>
    </row>
    <row r="216" spans="1:33" s="23" customFormat="1" ht="14.25">
      <c r="A216" s="6" t="s">
        <v>209</v>
      </c>
      <c r="B216" s="12" t="s">
        <v>164</v>
      </c>
      <c r="C216" s="11" t="s">
        <v>148</v>
      </c>
      <c r="D216" s="10" t="s">
        <v>174</v>
      </c>
      <c r="E216" s="49" t="s">
        <v>160</v>
      </c>
      <c r="F216" s="49" t="s">
        <v>280</v>
      </c>
      <c r="G216" s="34">
        <v>3</v>
      </c>
      <c r="H216" s="55">
        <v>1000</v>
      </c>
      <c r="I216" s="55">
        <v>600</v>
      </c>
      <c r="J216" s="56">
        <f t="shared" si="55"/>
        <v>-400</v>
      </c>
      <c r="K216" s="55">
        <v>600</v>
      </c>
      <c r="L216" s="55">
        <v>600</v>
      </c>
      <c r="M216" s="55">
        <f>500-200</f>
        <v>300</v>
      </c>
      <c r="N216" s="207">
        <f>300-200-80</f>
        <v>20</v>
      </c>
      <c r="O216" s="207">
        <f>300-200-80</f>
        <v>20</v>
      </c>
      <c r="P216" s="261">
        <f t="shared" si="54"/>
        <v>100</v>
      </c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</row>
    <row r="217" spans="1:33" s="23" customFormat="1" ht="25.5">
      <c r="A217" s="109" t="s">
        <v>221</v>
      </c>
      <c r="B217" s="13" t="s">
        <v>164</v>
      </c>
      <c r="C217" s="11" t="s">
        <v>148</v>
      </c>
      <c r="D217" s="11" t="s">
        <v>174</v>
      </c>
      <c r="E217" s="12" t="s">
        <v>156</v>
      </c>
      <c r="F217" s="49"/>
      <c r="G217" s="34"/>
      <c r="H217" s="55"/>
      <c r="I217" s="55"/>
      <c r="J217" s="56"/>
      <c r="K217" s="55"/>
      <c r="L217" s="55"/>
      <c r="M217" s="55"/>
      <c r="N217" s="207">
        <f aca="true" t="shared" si="61" ref="N217:O219">N218</f>
        <v>350</v>
      </c>
      <c r="O217" s="207">
        <f t="shared" si="61"/>
        <v>350</v>
      </c>
      <c r="P217" s="261">
        <f t="shared" si="54"/>
        <v>100</v>
      </c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</row>
    <row r="218" spans="1:33" s="23" customFormat="1" ht="25.5">
      <c r="A218" s="182" t="s">
        <v>398</v>
      </c>
      <c r="B218" s="12" t="s">
        <v>164</v>
      </c>
      <c r="C218" s="11" t="s">
        <v>148</v>
      </c>
      <c r="D218" s="11" t="s">
        <v>174</v>
      </c>
      <c r="E218" s="13" t="s">
        <v>413</v>
      </c>
      <c r="F218" s="13"/>
      <c r="G218" s="34"/>
      <c r="H218" s="55"/>
      <c r="I218" s="55"/>
      <c r="J218" s="56"/>
      <c r="K218" s="55"/>
      <c r="L218" s="55"/>
      <c r="M218" s="55"/>
      <c r="N218" s="207">
        <f t="shared" si="61"/>
        <v>350</v>
      </c>
      <c r="O218" s="207">
        <f t="shared" si="61"/>
        <v>350</v>
      </c>
      <c r="P218" s="261">
        <f t="shared" si="54"/>
        <v>100</v>
      </c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</row>
    <row r="219" spans="1:33" s="23" customFormat="1" ht="25.5">
      <c r="A219" s="6" t="s">
        <v>332</v>
      </c>
      <c r="B219" s="12" t="s">
        <v>164</v>
      </c>
      <c r="C219" s="11" t="s">
        <v>148</v>
      </c>
      <c r="D219" s="11" t="s">
        <v>174</v>
      </c>
      <c r="E219" s="13" t="s">
        <v>413</v>
      </c>
      <c r="F219" s="13" t="s">
        <v>331</v>
      </c>
      <c r="G219" s="34"/>
      <c r="H219" s="55"/>
      <c r="I219" s="55"/>
      <c r="J219" s="56"/>
      <c r="K219" s="55"/>
      <c r="L219" s="55"/>
      <c r="M219" s="55"/>
      <c r="N219" s="207">
        <f t="shared" si="61"/>
        <v>350</v>
      </c>
      <c r="O219" s="207">
        <f t="shared" si="61"/>
        <v>350</v>
      </c>
      <c r="P219" s="261">
        <f t="shared" si="54"/>
        <v>100</v>
      </c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</row>
    <row r="220" spans="1:33" s="23" customFormat="1" ht="14.25">
      <c r="A220" s="6" t="s">
        <v>209</v>
      </c>
      <c r="B220" s="12" t="s">
        <v>164</v>
      </c>
      <c r="C220" s="11" t="s">
        <v>148</v>
      </c>
      <c r="D220" s="11" t="s">
        <v>174</v>
      </c>
      <c r="E220" s="13" t="s">
        <v>413</v>
      </c>
      <c r="F220" s="13" t="s">
        <v>331</v>
      </c>
      <c r="G220" s="34">
        <v>3</v>
      </c>
      <c r="H220" s="55"/>
      <c r="I220" s="55"/>
      <c r="J220" s="56"/>
      <c r="K220" s="55"/>
      <c r="L220" s="55"/>
      <c r="M220" s="55"/>
      <c r="N220" s="207">
        <v>350</v>
      </c>
      <c r="O220" s="207">
        <v>350</v>
      </c>
      <c r="P220" s="261">
        <f t="shared" si="54"/>
        <v>100</v>
      </c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</row>
    <row r="221" spans="1:16" s="24" customFormat="1" ht="14.25">
      <c r="A221" s="50" t="s">
        <v>295</v>
      </c>
      <c r="B221" s="42" t="s">
        <v>164</v>
      </c>
      <c r="C221" s="45" t="s">
        <v>148</v>
      </c>
      <c r="D221" s="45" t="s">
        <v>180</v>
      </c>
      <c r="E221" s="45">
        <v>0</v>
      </c>
      <c r="F221" s="43"/>
      <c r="G221" s="28"/>
      <c r="H221" s="58" t="e">
        <f>H222+H244</f>
        <v>#REF!</v>
      </c>
      <c r="I221" s="58" t="e">
        <f>I222+I244</f>
        <v>#REF!</v>
      </c>
      <c r="J221" s="56" t="e">
        <f t="shared" si="55"/>
        <v>#REF!</v>
      </c>
      <c r="K221" s="58" t="e">
        <f>K222+K244+K247</f>
        <v>#REF!</v>
      </c>
      <c r="L221" s="58" t="e">
        <f>L222+L244+L247</f>
        <v>#REF!</v>
      </c>
      <c r="M221" s="58">
        <f>M222+M239+M247</f>
        <v>6702.9</v>
      </c>
      <c r="N221" s="217">
        <f>N222+N239+N247</f>
        <v>9621.25044</v>
      </c>
      <c r="O221" s="217">
        <f>O222+O239+O247</f>
        <v>9498.13205</v>
      </c>
      <c r="P221" s="261">
        <f t="shared" si="54"/>
        <v>98.72034938942926</v>
      </c>
    </row>
    <row r="222" spans="1:16" ht="14.25">
      <c r="A222" s="5" t="s">
        <v>84</v>
      </c>
      <c r="B222" s="12" t="s">
        <v>164</v>
      </c>
      <c r="C222" s="11" t="s">
        <v>148</v>
      </c>
      <c r="D222" s="11" t="s">
        <v>180</v>
      </c>
      <c r="E222" s="12" t="s">
        <v>73</v>
      </c>
      <c r="F222" s="12"/>
      <c r="G222" s="34"/>
      <c r="H222" s="58">
        <f>H223</f>
        <v>119.8</v>
      </c>
      <c r="I222" s="58">
        <f>I223</f>
        <v>66</v>
      </c>
      <c r="J222" s="56">
        <f t="shared" si="55"/>
        <v>-53.8</v>
      </c>
      <c r="K222" s="58">
        <f>K223</f>
        <v>66</v>
      </c>
      <c r="L222" s="58">
        <f>L223</f>
        <v>66</v>
      </c>
      <c r="M222" s="58">
        <f>M223+M227</f>
        <v>852.4</v>
      </c>
      <c r="N222" s="217">
        <f>N223+N227</f>
        <v>4059.1504400000003</v>
      </c>
      <c r="O222" s="217">
        <f>O223+O227</f>
        <v>3998.41327</v>
      </c>
      <c r="P222" s="261">
        <f t="shared" si="54"/>
        <v>98.50369748798961</v>
      </c>
    </row>
    <row r="223" spans="1:16" s="24" customFormat="1" ht="53.25" customHeight="1">
      <c r="A223" s="36" t="s">
        <v>367</v>
      </c>
      <c r="B223" s="42" t="s">
        <v>164</v>
      </c>
      <c r="C223" s="45" t="s">
        <v>148</v>
      </c>
      <c r="D223" s="45" t="s">
        <v>180</v>
      </c>
      <c r="E223" s="42" t="s">
        <v>118</v>
      </c>
      <c r="F223" s="42"/>
      <c r="G223" s="28"/>
      <c r="H223" s="58">
        <f>H224</f>
        <v>119.8</v>
      </c>
      <c r="I223" s="58">
        <f>I224</f>
        <v>66</v>
      </c>
      <c r="J223" s="56">
        <f t="shared" si="55"/>
        <v>-53.8</v>
      </c>
      <c r="K223" s="58">
        <f>K224</f>
        <v>66</v>
      </c>
      <c r="L223" s="58">
        <f>L224</f>
        <v>66</v>
      </c>
      <c r="M223" s="58">
        <f>M224</f>
        <v>37.3</v>
      </c>
      <c r="N223" s="217">
        <f>N224</f>
        <v>152.35044</v>
      </c>
      <c r="O223" s="217">
        <f>O224</f>
        <v>91.61327</v>
      </c>
      <c r="P223" s="261">
        <f t="shared" si="54"/>
        <v>60.13324936902053</v>
      </c>
    </row>
    <row r="224" spans="1:16" ht="25.5">
      <c r="A224" s="6" t="s">
        <v>330</v>
      </c>
      <c r="B224" s="12" t="s">
        <v>164</v>
      </c>
      <c r="C224" s="11" t="s">
        <v>148</v>
      </c>
      <c r="D224" s="11" t="s">
        <v>180</v>
      </c>
      <c r="E224" s="12" t="s">
        <v>118</v>
      </c>
      <c r="F224" s="13" t="s">
        <v>280</v>
      </c>
      <c r="G224" s="34"/>
      <c r="H224" s="58">
        <f>H226</f>
        <v>119.8</v>
      </c>
      <c r="I224" s="58">
        <f>I226</f>
        <v>66</v>
      </c>
      <c r="J224" s="56">
        <f t="shared" si="55"/>
        <v>-53.8</v>
      </c>
      <c r="K224" s="58">
        <f>K226</f>
        <v>66</v>
      </c>
      <c r="L224" s="58">
        <f>L226</f>
        <v>66</v>
      </c>
      <c r="M224" s="58">
        <f>M226+M225</f>
        <v>37.3</v>
      </c>
      <c r="N224" s="217">
        <f>N226+N225</f>
        <v>152.35044</v>
      </c>
      <c r="O224" s="217">
        <f>O226+O225</f>
        <v>91.61327</v>
      </c>
      <c r="P224" s="261">
        <f t="shared" si="54"/>
        <v>60.13324936902053</v>
      </c>
    </row>
    <row r="225" spans="1:16" ht="14.25">
      <c r="A225" s="5" t="s">
        <v>210</v>
      </c>
      <c r="B225" s="12" t="s">
        <v>164</v>
      </c>
      <c r="C225" s="11" t="s">
        <v>148</v>
      </c>
      <c r="D225" s="11" t="s">
        <v>180</v>
      </c>
      <c r="E225" s="12" t="s">
        <v>118</v>
      </c>
      <c r="F225" s="13" t="s">
        <v>280</v>
      </c>
      <c r="G225" s="34">
        <v>1</v>
      </c>
      <c r="H225" s="58"/>
      <c r="I225" s="58"/>
      <c r="J225" s="56"/>
      <c r="K225" s="58"/>
      <c r="L225" s="58"/>
      <c r="M225" s="58">
        <v>37.3</v>
      </c>
      <c r="N225" s="217">
        <f>91.6+60.75044</f>
        <v>152.35044</v>
      </c>
      <c r="O225" s="217">
        <v>91.61327</v>
      </c>
      <c r="P225" s="261">
        <f t="shared" si="54"/>
        <v>60.13324936902053</v>
      </c>
    </row>
    <row r="226" spans="1:16" ht="14.25">
      <c r="A226" s="6" t="s">
        <v>211</v>
      </c>
      <c r="B226" s="12" t="s">
        <v>164</v>
      </c>
      <c r="C226" s="11" t="s">
        <v>148</v>
      </c>
      <c r="D226" s="11" t="s">
        <v>180</v>
      </c>
      <c r="E226" s="12" t="s">
        <v>118</v>
      </c>
      <c r="F226" s="13" t="s">
        <v>280</v>
      </c>
      <c r="G226" s="34">
        <v>2</v>
      </c>
      <c r="H226" s="58">
        <v>119.8</v>
      </c>
      <c r="I226" s="58">
        <v>66</v>
      </c>
      <c r="J226" s="56">
        <f t="shared" si="55"/>
        <v>-53.8</v>
      </c>
      <c r="K226" s="58">
        <v>66</v>
      </c>
      <c r="L226" s="58">
        <v>66</v>
      </c>
      <c r="M226" s="58">
        <f>66-66</f>
        <v>0</v>
      </c>
      <c r="N226" s="217">
        <f>66-66</f>
        <v>0</v>
      </c>
      <c r="O226" s="217">
        <f>66-66</f>
        <v>0</v>
      </c>
      <c r="P226" s="261"/>
    </row>
    <row r="227" spans="1:16" ht="51">
      <c r="A227" s="6" t="s">
        <v>336</v>
      </c>
      <c r="B227" s="12" t="s">
        <v>164</v>
      </c>
      <c r="C227" s="11" t="s">
        <v>148</v>
      </c>
      <c r="D227" s="11" t="s">
        <v>180</v>
      </c>
      <c r="E227" s="37" t="s">
        <v>334</v>
      </c>
      <c r="F227" s="13"/>
      <c r="G227" s="34"/>
      <c r="H227" s="58"/>
      <c r="I227" s="58"/>
      <c r="J227" s="56"/>
      <c r="K227" s="58"/>
      <c r="L227" s="58"/>
      <c r="M227" s="111">
        <f aca="true" t="shared" si="62" ref="M227:O229">M228</f>
        <v>815.1</v>
      </c>
      <c r="N227" s="224">
        <f>N228+N231+N235</f>
        <v>3906.8</v>
      </c>
      <c r="O227" s="224">
        <f>O228+O231+O235</f>
        <v>3906.8</v>
      </c>
      <c r="P227" s="261">
        <f t="shared" si="54"/>
        <v>100</v>
      </c>
    </row>
    <row r="228" spans="1:16" ht="63.75">
      <c r="A228" s="6" t="s">
        <v>333</v>
      </c>
      <c r="B228" s="12" t="s">
        <v>164</v>
      </c>
      <c r="C228" s="11" t="s">
        <v>148</v>
      </c>
      <c r="D228" s="11" t="s">
        <v>180</v>
      </c>
      <c r="E228" s="37" t="s">
        <v>335</v>
      </c>
      <c r="F228" s="13"/>
      <c r="G228" s="34"/>
      <c r="H228" s="56"/>
      <c r="I228" s="56">
        <f>I229</f>
        <v>797</v>
      </c>
      <c r="J228" s="56">
        <f t="shared" si="55"/>
        <v>797</v>
      </c>
      <c r="K228" s="56">
        <f>K229</f>
        <v>797</v>
      </c>
      <c r="L228" s="56">
        <f>L229</f>
        <v>797</v>
      </c>
      <c r="M228" s="112">
        <f t="shared" si="62"/>
        <v>815.1</v>
      </c>
      <c r="N228" s="215">
        <f t="shared" si="62"/>
        <v>0</v>
      </c>
      <c r="O228" s="215">
        <f t="shared" si="62"/>
        <v>0</v>
      </c>
      <c r="P228" s="261"/>
    </row>
    <row r="229" spans="1:16" ht="25.5">
      <c r="A229" s="6" t="s">
        <v>332</v>
      </c>
      <c r="B229" s="12" t="s">
        <v>164</v>
      </c>
      <c r="C229" s="11" t="s">
        <v>148</v>
      </c>
      <c r="D229" s="11" t="s">
        <v>180</v>
      </c>
      <c r="E229" s="37" t="s">
        <v>335</v>
      </c>
      <c r="F229" s="13" t="s">
        <v>331</v>
      </c>
      <c r="G229" s="34"/>
      <c r="H229" s="56"/>
      <c r="I229" s="56">
        <f>I230</f>
        <v>797</v>
      </c>
      <c r="J229" s="56">
        <f t="shared" si="55"/>
        <v>797</v>
      </c>
      <c r="K229" s="56">
        <f>K230</f>
        <v>797</v>
      </c>
      <c r="L229" s="56">
        <f>L230</f>
        <v>797</v>
      </c>
      <c r="M229" s="112">
        <f t="shared" si="62"/>
        <v>815.1</v>
      </c>
      <c r="N229" s="215">
        <f t="shared" si="62"/>
        <v>0</v>
      </c>
      <c r="O229" s="215">
        <f t="shared" si="62"/>
        <v>0</v>
      </c>
      <c r="P229" s="261"/>
    </row>
    <row r="230" spans="1:33" s="68" customFormat="1" ht="14.25">
      <c r="A230" s="6" t="s">
        <v>211</v>
      </c>
      <c r="B230" s="12" t="s">
        <v>164</v>
      </c>
      <c r="C230" s="11" t="s">
        <v>148</v>
      </c>
      <c r="D230" s="11" t="s">
        <v>180</v>
      </c>
      <c r="E230" s="37" t="s">
        <v>335</v>
      </c>
      <c r="F230" s="13" t="s">
        <v>331</v>
      </c>
      <c r="G230" s="34">
        <v>2</v>
      </c>
      <c r="H230" s="58"/>
      <c r="I230" s="58">
        <v>797</v>
      </c>
      <c r="J230" s="56"/>
      <c r="K230" s="58">
        <v>797</v>
      </c>
      <c r="L230" s="58">
        <v>797</v>
      </c>
      <c r="M230" s="58">
        <v>815.1</v>
      </c>
      <c r="N230" s="217">
        <f>4174.5-4174.5</f>
        <v>0</v>
      </c>
      <c r="O230" s="217">
        <f>4174.5-4174.5</f>
        <v>0</v>
      </c>
      <c r="P230" s="261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</row>
    <row r="231" spans="1:33" s="68" customFormat="1" ht="63.75">
      <c r="A231" s="6" t="s">
        <v>420</v>
      </c>
      <c r="B231" s="12" t="s">
        <v>164</v>
      </c>
      <c r="C231" s="11" t="s">
        <v>148</v>
      </c>
      <c r="D231" s="11" t="s">
        <v>180</v>
      </c>
      <c r="E231" s="37" t="s">
        <v>421</v>
      </c>
      <c r="F231" s="13"/>
      <c r="G231" s="34"/>
      <c r="H231" s="58"/>
      <c r="I231" s="58"/>
      <c r="J231" s="56"/>
      <c r="K231" s="58"/>
      <c r="L231" s="58"/>
      <c r="M231" s="58"/>
      <c r="N231" s="217">
        <f>N232</f>
        <v>3055</v>
      </c>
      <c r="O231" s="217">
        <f>O232</f>
        <v>3055</v>
      </c>
      <c r="P231" s="261">
        <f t="shared" si="54"/>
        <v>100</v>
      </c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</row>
    <row r="232" spans="1:33" s="68" customFormat="1" ht="25.5">
      <c r="A232" s="6" t="s">
        <v>332</v>
      </c>
      <c r="B232" s="12" t="s">
        <v>164</v>
      </c>
      <c r="C232" s="11" t="s">
        <v>148</v>
      </c>
      <c r="D232" s="11" t="s">
        <v>180</v>
      </c>
      <c r="E232" s="37" t="s">
        <v>421</v>
      </c>
      <c r="F232" s="13" t="s">
        <v>331</v>
      </c>
      <c r="G232" s="34"/>
      <c r="H232" s="58"/>
      <c r="I232" s="58"/>
      <c r="J232" s="56"/>
      <c r="K232" s="58"/>
      <c r="L232" s="58"/>
      <c r="M232" s="58"/>
      <c r="N232" s="217">
        <f>N234+N233</f>
        <v>3055</v>
      </c>
      <c r="O232" s="217">
        <f>O234+O233</f>
        <v>3055</v>
      </c>
      <c r="P232" s="261">
        <f t="shared" si="54"/>
        <v>100</v>
      </c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</row>
    <row r="233" spans="1:33" s="68" customFormat="1" ht="14.25">
      <c r="A233" s="5" t="s">
        <v>210</v>
      </c>
      <c r="B233" s="12" t="s">
        <v>164</v>
      </c>
      <c r="C233" s="11" t="s">
        <v>148</v>
      </c>
      <c r="D233" s="11" t="s">
        <v>180</v>
      </c>
      <c r="E233" s="37" t="s">
        <v>421</v>
      </c>
      <c r="F233" s="13" t="s">
        <v>331</v>
      </c>
      <c r="G233" s="34">
        <v>1</v>
      </c>
      <c r="H233" s="58"/>
      <c r="I233" s="58"/>
      <c r="J233" s="56"/>
      <c r="K233" s="58"/>
      <c r="L233" s="58"/>
      <c r="M233" s="58"/>
      <c r="N233" s="217">
        <f>477.1-127.6-349.5</f>
        <v>0</v>
      </c>
      <c r="O233" s="217">
        <f>477.1-127.6-349.5</f>
        <v>0</v>
      </c>
      <c r="P233" s="261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</row>
    <row r="234" spans="1:33" s="68" customFormat="1" ht="14.25">
      <c r="A234" s="6" t="s">
        <v>211</v>
      </c>
      <c r="B234" s="12" t="s">
        <v>164</v>
      </c>
      <c r="C234" s="11" t="s">
        <v>148</v>
      </c>
      <c r="D234" s="11" t="s">
        <v>180</v>
      </c>
      <c r="E234" s="37" t="s">
        <v>421</v>
      </c>
      <c r="F234" s="13" t="s">
        <v>331</v>
      </c>
      <c r="G234" s="34">
        <v>2</v>
      </c>
      <c r="H234" s="58"/>
      <c r="I234" s="58"/>
      <c r="J234" s="56"/>
      <c r="K234" s="58"/>
      <c r="L234" s="58"/>
      <c r="M234" s="58"/>
      <c r="N234" s="217">
        <f>3697.4+127.6+349.5-349.5-770</f>
        <v>3055</v>
      </c>
      <c r="O234" s="217">
        <f>3697.4+127.6+349.5-349.5-770</f>
        <v>3055</v>
      </c>
      <c r="P234" s="261">
        <f t="shared" si="54"/>
        <v>100</v>
      </c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</row>
    <row r="235" spans="1:33" s="68" customFormat="1" ht="63.75">
      <c r="A235" s="6" t="s">
        <v>442</v>
      </c>
      <c r="B235" s="12" t="s">
        <v>164</v>
      </c>
      <c r="C235" s="11" t="s">
        <v>148</v>
      </c>
      <c r="D235" s="11" t="s">
        <v>180</v>
      </c>
      <c r="E235" s="37" t="s">
        <v>441</v>
      </c>
      <c r="F235" s="13"/>
      <c r="G235" s="34"/>
      <c r="H235" s="58"/>
      <c r="I235" s="58"/>
      <c r="J235" s="56"/>
      <c r="K235" s="58"/>
      <c r="L235" s="58"/>
      <c r="M235" s="58"/>
      <c r="N235" s="217">
        <f>N236</f>
        <v>851.8</v>
      </c>
      <c r="O235" s="217">
        <f>O236</f>
        <v>851.8</v>
      </c>
      <c r="P235" s="261">
        <f t="shared" si="54"/>
        <v>100</v>
      </c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</row>
    <row r="236" spans="1:33" s="68" customFormat="1" ht="25.5">
      <c r="A236" s="6" t="s">
        <v>332</v>
      </c>
      <c r="B236" s="12" t="s">
        <v>164</v>
      </c>
      <c r="C236" s="11" t="s">
        <v>148</v>
      </c>
      <c r="D236" s="11" t="s">
        <v>180</v>
      </c>
      <c r="E236" s="37" t="s">
        <v>441</v>
      </c>
      <c r="F236" s="13" t="s">
        <v>331</v>
      </c>
      <c r="G236" s="34"/>
      <c r="H236" s="58"/>
      <c r="I236" s="58"/>
      <c r="J236" s="56"/>
      <c r="K236" s="58"/>
      <c r="L236" s="58"/>
      <c r="M236" s="58"/>
      <c r="N236" s="217">
        <f>N237+N238</f>
        <v>851.8</v>
      </c>
      <c r="O236" s="217">
        <f>O237+O238</f>
        <v>851.8</v>
      </c>
      <c r="P236" s="261">
        <f t="shared" si="54"/>
        <v>100</v>
      </c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</row>
    <row r="237" spans="1:33" s="68" customFormat="1" ht="14.25">
      <c r="A237" s="5" t="s">
        <v>210</v>
      </c>
      <c r="B237" s="12" t="s">
        <v>164</v>
      </c>
      <c r="C237" s="11" t="s">
        <v>148</v>
      </c>
      <c r="D237" s="11" t="s">
        <v>180</v>
      </c>
      <c r="E237" s="37" t="s">
        <v>441</v>
      </c>
      <c r="F237" s="13" t="s">
        <v>331</v>
      </c>
      <c r="G237" s="34">
        <v>1</v>
      </c>
      <c r="H237" s="58"/>
      <c r="I237" s="58"/>
      <c r="J237" s="56"/>
      <c r="K237" s="58"/>
      <c r="L237" s="58"/>
      <c r="M237" s="58"/>
      <c r="N237" s="217"/>
      <c r="O237" s="217"/>
      <c r="P237" s="261" t="e">
        <f t="shared" si="54"/>
        <v>#DIV/0!</v>
      </c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</row>
    <row r="238" spans="1:33" s="68" customFormat="1" ht="14.25">
      <c r="A238" s="6" t="s">
        <v>211</v>
      </c>
      <c r="B238" s="12" t="s">
        <v>164</v>
      </c>
      <c r="C238" s="11" t="s">
        <v>148</v>
      </c>
      <c r="D238" s="11" t="s">
        <v>180</v>
      </c>
      <c r="E238" s="37" t="s">
        <v>441</v>
      </c>
      <c r="F238" s="13" t="s">
        <v>331</v>
      </c>
      <c r="G238" s="34">
        <v>2</v>
      </c>
      <c r="H238" s="58"/>
      <c r="I238" s="58"/>
      <c r="J238" s="56"/>
      <c r="K238" s="58"/>
      <c r="L238" s="58"/>
      <c r="M238" s="58"/>
      <c r="N238" s="217">
        <f>851.8</f>
        <v>851.8</v>
      </c>
      <c r="O238" s="217">
        <f>851.8</f>
        <v>851.8</v>
      </c>
      <c r="P238" s="261">
        <f t="shared" si="54"/>
        <v>100</v>
      </c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</row>
    <row r="239" spans="1:33" s="68" customFormat="1" ht="38.25">
      <c r="A239" s="6" t="s">
        <v>325</v>
      </c>
      <c r="B239" s="12" t="s">
        <v>164</v>
      </c>
      <c r="C239" s="11" t="s">
        <v>148</v>
      </c>
      <c r="D239" s="11" t="s">
        <v>180</v>
      </c>
      <c r="E239" s="37" t="s">
        <v>324</v>
      </c>
      <c r="F239" s="13"/>
      <c r="G239" s="34"/>
      <c r="H239" s="58"/>
      <c r="I239" s="58"/>
      <c r="J239" s="56"/>
      <c r="K239" s="58"/>
      <c r="L239" s="58"/>
      <c r="M239" s="58">
        <f>M240+M244</f>
        <v>5800.5</v>
      </c>
      <c r="N239" s="217">
        <f>N240+N244</f>
        <v>5512.1</v>
      </c>
      <c r="O239" s="217">
        <f>O240+O244</f>
        <v>5499.71878</v>
      </c>
      <c r="P239" s="261">
        <f t="shared" si="54"/>
        <v>99.77538107073529</v>
      </c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</row>
    <row r="240" spans="1:33" s="68" customFormat="1" ht="38.25">
      <c r="A240" s="105" t="s">
        <v>327</v>
      </c>
      <c r="B240" s="12" t="s">
        <v>164</v>
      </c>
      <c r="C240" s="11" t="s">
        <v>148</v>
      </c>
      <c r="D240" s="11" t="s">
        <v>180</v>
      </c>
      <c r="E240" s="37" t="s">
        <v>326</v>
      </c>
      <c r="F240" s="13"/>
      <c r="G240" s="34"/>
      <c r="H240" s="58"/>
      <c r="I240" s="58"/>
      <c r="J240" s="56"/>
      <c r="K240" s="58"/>
      <c r="L240" s="58"/>
      <c r="M240" s="58">
        <f aca="true" t="shared" si="63" ref="M240:O242">M241</f>
        <v>47</v>
      </c>
      <c r="N240" s="217">
        <f t="shared" si="63"/>
        <v>0</v>
      </c>
      <c r="O240" s="217">
        <f t="shared" si="63"/>
        <v>0</v>
      </c>
      <c r="P240" s="261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</row>
    <row r="241" spans="1:33" s="68" customFormat="1" ht="114.75">
      <c r="A241" s="6" t="s">
        <v>322</v>
      </c>
      <c r="B241" s="12" t="s">
        <v>164</v>
      </c>
      <c r="C241" s="11" t="s">
        <v>148</v>
      </c>
      <c r="D241" s="11" t="s">
        <v>180</v>
      </c>
      <c r="E241" s="37" t="s">
        <v>344</v>
      </c>
      <c r="F241" s="13"/>
      <c r="G241" s="34"/>
      <c r="H241" s="58"/>
      <c r="I241" s="58"/>
      <c r="J241" s="56"/>
      <c r="K241" s="58"/>
      <c r="L241" s="58"/>
      <c r="M241" s="58">
        <f t="shared" si="63"/>
        <v>47</v>
      </c>
      <c r="N241" s="217">
        <f t="shared" si="63"/>
        <v>0</v>
      </c>
      <c r="O241" s="217">
        <f t="shared" si="63"/>
        <v>0</v>
      </c>
      <c r="P241" s="261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</row>
    <row r="242" spans="1:33" s="68" customFormat="1" ht="25.5">
      <c r="A242" s="6" t="s">
        <v>348</v>
      </c>
      <c r="B242" s="12" t="s">
        <v>164</v>
      </c>
      <c r="C242" s="11" t="s">
        <v>148</v>
      </c>
      <c r="D242" s="11" t="s">
        <v>180</v>
      </c>
      <c r="E242" s="37" t="s">
        <v>344</v>
      </c>
      <c r="F242" s="13" t="s">
        <v>347</v>
      </c>
      <c r="G242" s="34"/>
      <c r="H242" s="58"/>
      <c r="I242" s="58"/>
      <c r="J242" s="56"/>
      <c r="K242" s="58"/>
      <c r="L242" s="58"/>
      <c r="M242" s="58">
        <f t="shared" si="63"/>
        <v>47</v>
      </c>
      <c r="N242" s="217">
        <f t="shared" si="63"/>
        <v>0</v>
      </c>
      <c r="O242" s="217">
        <f t="shared" si="63"/>
        <v>0</v>
      </c>
      <c r="P242" s="261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</row>
    <row r="243" spans="1:33" s="68" customFormat="1" ht="14.25">
      <c r="A243" s="6" t="s">
        <v>211</v>
      </c>
      <c r="B243" s="12" t="s">
        <v>164</v>
      </c>
      <c r="C243" s="11" t="s">
        <v>148</v>
      </c>
      <c r="D243" s="11" t="s">
        <v>180</v>
      </c>
      <c r="E243" s="37" t="s">
        <v>344</v>
      </c>
      <c r="F243" s="13" t="s">
        <v>347</v>
      </c>
      <c r="G243" s="34">
        <v>2</v>
      </c>
      <c r="H243" s="58"/>
      <c r="I243" s="58"/>
      <c r="J243" s="56"/>
      <c r="K243" s="58"/>
      <c r="L243" s="58"/>
      <c r="M243" s="58">
        <v>47</v>
      </c>
      <c r="N243" s="217">
        <f>20.8-20.8</f>
        <v>0</v>
      </c>
      <c r="O243" s="217">
        <f>20.8-20.8</f>
        <v>0</v>
      </c>
      <c r="P243" s="261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</row>
    <row r="244" spans="1:16" ht="38.25">
      <c r="A244" s="105" t="s">
        <v>366</v>
      </c>
      <c r="B244" s="12" t="s">
        <v>164</v>
      </c>
      <c r="C244" s="11" t="s">
        <v>148</v>
      </c>
      <c r="D244" s="11" t="s">
        <v>180</v>
      </c>
      <c r="E244" s="37" t="s">
        <v>321</v>
      </c>
      <c r="F244" s="12"/>
      <c r="G244" s="34"/>
      <c r="H244" s="58" t="e">
        <f>#REF!+#REF!+#REF!</f>
        <v>#REF!</v>
      </c>
      <c r="I244" s="58" t="e">
        <f>#REF!+#REF!+#REF!</f>
        <v>#REF!</v>
      </c>
      <c r="J244" s="56" t="e">
        <f t="shared" si="55"/>
        <v>#REF!</v>
      </c>
      <c r="K244" s="58" t="e">
        <f>#REF!+#REF!+#REF!</f>
        <v>#REF!</v>
      </c>
      <c r="L244" s="58" t="e">
        <f>#REF!+#REF!+#REF!</f>
        <v>#REF!</v>
      </c>
      <c r="M244" s="58">
        <f aca="true" t="shared" si="64" ref="M244:O245">M245</f>
        <v>5753.5</v>
      </c>
      <c r="N244" s="217">
        <f t="shared" si="64"/>
        <v>5512.1</v>
      </c>
      <c r="O244" s="217">
        <f t="shared" si="64"/>
        <v>5499.71878</v>
      </c>
      <c r="P244" s="261">
        <f t="shared" si="54"/>
        <v>99.77538107073529</v>
      </c>
    </row>
    <row r="245" spans="1:16" ht="25.5">
      <c r="A245" s="105" t="s">
        <v>330</v>
      </c>
      <c r="B245" s="12" t="s">
        <v>164</v>
      </c>
      <c r="C245" s="11" t="s">
        <v>148</v>
      </c>
      <c r="D245" s="11" t="s">
        <v>180</v>
      </c>
      <c r="E245" s="37" t="s">
        <v>321</v>
      </c>
      <c r="F245" s="37" t="s">
        <v>280</v>
      </c>
      <c r="G245" s="34"/>
      <c r="H245" s="58"/>
      <c r="I245" s="58"/>
      <c r="J245" s="56"/>
      <c r="K245" s="58"/>
      <c r="L245" s="58"/>
      <c r="M245" s="58">
        <f t="shared" si="64"/>
        <v>5753.5</v>
      </c>
      <c r="N245" s="217">
        <f t="shared" si="64"/>
        <v>5512.1</v>
      </c>
      <c r="O245" s="217">
        <f t="shared" si="64"/>
        <v>5499.71878</v>
      </c>
      <c r="P245" s="261">
        <f t="shared" si="54"/>
        <v>99.77538107073529</v>
      </c>
    </row>
    <row r="246" spans="1:16" ht="14.25">
      <c r="A246" s="6" t="s">
        <v>211</v>
      </c>
      <c r="B246" s="12" t="s">
        <v>164</v>
      </c>
      <c r="C246" s="11" t="s">
        <v>148</v>
      </c>
      <c r="D246" s="11" t="s">
        <v>180</v>
      </c>
      <c r="E246" s="37" t="s">
        <v>321</v>
      </c>
      <c r="F246" s="37" t="s">
        <v>280</v>
      </c>
      <c r="G246" s="34">
        <v>2</v>
      </c>
      <c r="H246" s="58"/>
      <c r="I246" s="58"/>
      <c r="J246" s="56"/>
      <c r="K246" s="58"/>
      <c r="L246" s="58"/>
      <c r="M246" s="58">
        <v>5753.5</v>
      </c>
      <c r="N246" s="217">
        <f>5985.1-473</f>
        <v>5512.1</v>
      </c>
      <c r="O246" s="217">
        <v>5499.71878</v>
      </c>
      <c r="P246" s="261">
        <f t="shared" si="54"/>
        <v>99.77538107073529</v>
      </c>
    </row>
    <row r="247" spans="1:33" s="68" customFormat="1" ht="63.75">
      <c r="A247" s="6" t="s">
        <v>273</v>
      </c>
      <c r="B247" s="12" t="s">
        <v>164</v>
      </c>
      <c r="C247" s="11" t="s">
        <v>148</v>
      </c>
      <c r="D247" s="11" t="s">
        <v>180</v>
      </c>
      <c r="E247" s="12" t="s">
        <v>272</v>
      </c>
      <c r="F247" s="13"/>
      <c r="G247" s="34"/>
      <c r="H247" s="58"/>
      <c r="I247" s="58"/>
      <c r="J247" s="56"/>
      <c r="K247" s="58">
        <f aca="true" t="shared" si="65" ref="K247:O248">K248</f>
        <v>50.3</v>
      </c>
      <c r="L247" s="58">
        <f t="shared" si="65"/>
        <v>50.3</v>
      </c>
      <c r="M247" s="58">
        <f t="shared" si="65"/>
        <v>50</v>
      </c>
      <c r="N247" s="217">
        <f t="shared" si="65"/>
        <v>50</v>
      </c>
      <c r="O247" s="217">
        <f t="shared" si="65"/>
        <v>0</v>
      </c>
      <c r="P247" s="261">
        <f t="shared" si="54"/>
        <v>0</v>
      </c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</row>
    <row r="248" spans="1:33" s="68" customFormat="1" ht="25.5">
      <c r="A248" s="105" t="s">
        <v>330</v>
      </c>
      <c r="B248" s="12" t="s">
        <v>164</v>
      </c>
      <c r="C248" s="11" t="s">
        <v>148</v>
      </c>
      <c r="D248" s="11" t="s">
        <v>180</v>
      </c>
      <c r="E248" s="12" t="s">
        <v>272</v>
      </c>
      <c r="F248" s="13" t="s">
        <v>280</v>
      </c>
      <c r="G248" s="34"/>
      <c r="H248" s="58"/>
      <c r="I248" s="58"/>
      <c r="J248" s="56"/>
      <c r="K248" s="58">
        <f t="shared" si="65"/>
        <v>50.3</v>
      </c>
      <c r="L248" s="58">
        <f t="shared" si="65"/>
        <v>50.3</v>
      </c>
      <c r="M248" s="58">
        <f t="shared" si="65"/>
        <v>50</v>
      </c>
      <c r="N248" s="217">
        <f t="shared" si="65"/>
        <v>50</v>
      </c>
      <c r="O248" s="217">
        <f t="shared" si="65"/>
        <v>0</v>
      </c>
      <c r="P248" s="261">
        <f t="shared" si="54"/>
        <v>0</v>
      </c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</row>
    <row r="249" spans="1:33" s="68" customFormat="1" ht="14.25">
      <c r="A249" s="6" t="s">
        <v>211</v>
      </c>
      <c r="B249" s="12" t="s">
        <v>164</v>
      </c>
      <c r="C249" s="11" t="s">
        <v>148</v>
      </c>
      <c r="D249" s="11" t="s">
        <v>180</v>
      </c>
      <c r="E249" s="12" t="s">
        <v>272</v>
      </c>
      <c r="F249" s="13" t="s">
        <v>280</v>
      </c>
      <c r="G249" s="34">
        <v>2</v>
      </c>
      <c r="H249" s="58"/>
      <c r="I249" s="58"/>
      <c r="J249" s="56"/>
      <c r="K249" s="58">
        <v>50.3</v>
      </c>
      <c r="L249" s="58">
        <v>50.3</v>
      </c>
      <c r="M249" s="58">
        <v>50</v>
      </c>
      <c r="N249" s="217">
        <v>50</v>
      </c>
      <c r="O249" s="217"/>
      <c r="P249" s="261">
        <f t="shared" si="54"/>
        <v>0</v>
      </c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</row>
    <row r="250" spans="1:16" ht="28.5">
      <c r="A250" s="4" t="s">
        <v>31</v>
      </c>
      <c r="B250" s="12" t="s">
        <v>164</v>
      </c>
      <c r="C250" s="11" t="s">
        <v>148</v>
      </c>
      <c r="D250" s="11" t="s">
        <v>188</v>
      </c>
      <c r="E250" s="11"/>
      <c r="F250" s="11"/>
      <c r="G250" s="34"/>
      <c r="H250" s="58" t="e">
        <f>#REF!+#REF!+H251</f>
        <v>#REF!</v>
      </c>
      <c r="I250" s="58" t="e">
        <f>#REF!+#REF!+I251</f>
        <v>#REF!</v>
      </c>
      <c r="J250" s="56" t="e">
        <f aca="true" t="shared" si="66" ref="J250:J265">I250-H250</f>
        <v>#REF!</v>
      </c>
      <c r="K250" s="58" t="e">
        <f>#REF!+#REF!+K251</f>
        <v>#REF!</v>
      </c>
      <c r="L250" s="58" t="e">
        <f>#REF!+#REF!+L251</f>
        <v>#REF!</v>
      </c>
      <c r="M250" s="58" t="e">
        <f>#REF!+#REF!+M251</f>
        <v>#REF!</v>
      </c>
      <c r="N250" s="217">
        <f>N251</f>
        <v>808.9</v>
      </c>
      <c r="O250" s="217">
        <f>O251</f>
        <v>808.9</v>
      </c>
      <c r="P250" s="261">
        <f t="shared" si="54"/>
        <v>100</v>
      </c>
    </row>
    <row r="251" spans="1:33" s="76" customFormat="1" ht="25.5">
      <c r="A251" s="5" t="s">
        <v>239</v>
      </c>
      <c r="B251" s="12" t="s">
        <v>164</v>
      </c>
      <c r="C251" s="11" t="s">
        <v>148</v>
      </c>
      <c r="D251" s="11" t="s">
        <v>188</v>
      </c>
      <c r="E251" s="12" t="s">
        <v>238</v>
      </c>
      <c r="F251" s="12"/>
      <c r="G251" s="34"/>
      <c r="H251" s="58">
        <f>H252</f>
        <v>680.7</v>
      </c>
      <c r="I251" s="58">
        <f>I252</f>
        <v>734.6</v>
      </c>
      <c r="J251" s="56">
        <f t="shared" si="66"/>
        <v>53.89999999999998</v>
      </c>
      <c r="K251" s="58">
        <f aca="true" t="shared" si="67" ref="K251:O252">K252</f>
        <v>734.6</v>
      </c>
      <c r="L251" s="58">
        <f t="shared" si="67"/>
        <v>734.6</v>
      </c>
      <c r="M251" s="58">
        <f t="shared" si="67"/>
        <v>759.8</v>
      </c>
      <c r="N251" s="217">
        <f t="shared" si="67"/>
        <v>808.9</v>
      </c>
      <c r="O251" s="217">
        <f t="shared" si="67"/>
        <v>808.9</v>
      </c>
      <c r="P251" s="261">
        <f t="shared" si="54"/>
        <v>100</v>
      </c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</row>
    <row r="252" spans="1:33" s="76" customFormat="1" ht="25.5">
      <c r="A252" s="6" t="s">
        <v>97</v>
      </c>
      <c r="B252" s="12" t="s">
        <v>164</v>
      </c>
      <c r="C252" s="11" t="s">
        <v>148</v>
      </c>
      <c r="D252" s="11" t="s">
        <v>188</v>
      </c>
      <c r="E252" s="12" t="s">
        <v>238</v>
      </c>
      <c r="F252" s="13" t="s">
        <v>323</v>
      </c>
      <c r="G252" s="34"/>
      <c r="H252" s="58">
        <f>H253</f>
        <v>680.7</v>
      </c>
      <c r="I252" s="58">
        <f>I253</f>
        <v>734.6</v>
      </c>
      <c r="J252" s="56">
        <f t="shared" si="66"/>
        <v>53.89999999999998</v>
      </c>
      <c r="K252" s="58">
        <f t="shared" si="67"/>
        <v>734.6</v>
      </c>
      <c r="L252" s="58">
        <f t="shared" si="67"/>
        <v>734.6</v>
      </c>
      <c r="M252" s="58">
        <f t="shared" si="67"/>
        <v>759.8</v>
      </c>
      <c r="N252" s="217">
        <f t="shared" si="67"/>
        <v>808.9</v>
      </c>
      <c r="O252" s="217">
        <f t="shared" si="67"/>
        <v>808.9</v>
      </c>
      <c r="P252" s="261">
        <f t="shared" si="54"/>
        <v>100</v>
      </c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</row>
    <row r="253" spans="1:33" s="76" customFormat="1" ht="14.25">
      <c r="A253" s="6" t="s">
        <v>211</v>
      </c>
      <c r="B253" s="12" t="s">
        <v>164</v>
      </c>
      <c r="C253" s="11" t="s">
        <v>148</v>
      </c>
      <c r="D253" s="11" t="s">
        <v>188</v>
      </c>
      <c r="E253" s="12" t="s">
        <v>238</v>
      </c>
      <c r="F253" s="13" t="s">
        <v>323</v>
      </c>
      <c r="G253" s="34">
        <v>2</v>
      </c>
      <c r="H253" s="58">
        <v>680.7</v>
      </c>
      <c r="I253" s="58">
        <v>734.6</v>
      </c>
      <c r="J253" s="56">
        <f t="shared" si="66"/>
        <v>53.89999999999998</v>
      </c>
      <c r="K253" s="58">
        <v>734.6</v>
      </c>
      <c r="L253" s="58">
        <v>734.6</v>
      </c>
      <c r="M253" s="58">
        <v>759.8</v>
      </c>
      <c r="N253" s="217">
        <v>808.9</v>
      </c>
      <c r="O253" s="217">
        <v>808.9</v>
      </c>
      <c r="P253" s="261">
        <f t="shared" si="54"/>
        <v>100</v>
      </c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</row>
    <row r="254" spans="1:16" ht="15.75">
      <c r="A254" s="82" t="s">
        <v>30</v>
      </c>
      <c r="B254" s="10" t="s">
        <v>164</v>
      </c>
      <c r="C254" s="11" t="s">
        <v>176</v>
      </c>
      <c r="D254" s="11"/>
      <c r="E254" s="11">
        <v>0</v>
      </c>
      <c r="F254" s="11"/>
      <c r="G254" s="11"/>
      <c r="H254" s="56" t="e">
        <f aca="true" t="shared" si="68" ref="H254:I256">H255</f>
        <v>#REF!</v>
      </c>
      <c r="I254" s="56">
        <f t="shared" si="68"/>
        <v>200</v>
      </c>
      <c r="J254" s="56" t="e">
        <f t="shared" si="66"/>
        <v>#REF!</v>
      </c>
      <c r="K254" s="56">
        <f aca="true" t="shared" si="69" ref="K254:L257">K255</f>
        <v>200</v>
      </c>
      <c r="L254" s="56">
        <f t="shared" si="69"/>
        <v>200</v>
      </c>
      <c r="M254" s="56">
        <f aca="true" t="shared" si="70" ref="M254:O257">M255</f>
        <v>200</v>
      </c>
      <c r="N254" s="208">
        <f t="shared" si="70"/>
        <v>200</v>
      </c>
      <c r="O254" s="208">
        <f t="shared" si="70"/>
        <v>200</v>
      </c>
      <c r="P254" s="261">
        <f t="shared" si="54"/>
        <v>100</v>
      </c>
    </row>
    <row r="255" spans="1:16" ht="14.25">
      <c r="A255" s="4" t="s">
        <v>256</v>
      </c>
      <c r="B255" s="11" t="s">
        <v>164</v>
      </c>
      <c r="C255" s="11" t="s">
        <v>176</v>
      </c>
      <c r="D255" s="11" t="s">
        <v>244</v>
      </c>
      <c r="E255" s="12"/>
      <c r="F255" s="12"/>
      <c r="G255" s="12"/>
      <c r="H255" s="55" t="e">
        <f t="shared" si="68"/>
        <v>#REF!</v>
      </c>
      <c r="I255" s="55">
        <f t="shared" si="68"/>
        <v>200</v>
      </c>
      <c r="J255" s="56" t="e">
        <f t="shared" si="66"/>
        <v>#REF!</v>
      </c>
      <c r="K255" s="55">
        <f t="shared" si="69"/>
        <v>200</v>
      </c>
      <c r="L255" s="55">
        <f t="shared" si="69"/>
        <v>200</v>
      </c>
      <c r="M255" s="55">
        <f t="shared" si="70"/>
        <v>200</v>
      </c>
      <c r="N255" s="207">
        <f t="shared" si="70"/>
        <v>200</v>
      </c>
      <c r="O255" s="207">
        <f t="shared" si="70"/>
        <v>200</v>
      </c>
      <c r="P255" s="261">
        <f t="shared" si="54"/>
        <v>100</v>
      </c>
    </row>
    <row r="256" spans="1:16" ht="25.5">
      <c r="A256" s="105" t="s">
        <v>345</v>
      </c>
      <c r="B256" s="11" t="s">
        <v>164</v>
      </c>
      <c r="C256" s="11" t="s">
        <v>176</v>
      </c>
      <c r="D256" s="11" t="s">
        <v>244</v>
      </c>
      <c r="E256" s="12" t="s">
        <v>52</v>
      </c>
      <c r="F256" s="12"/>
      <c r="G256" s="12"/>
      <c r="H256" s="55" t="e">
        <f t="shared" si="68"/>
        <v>#REF!</v>
      </c>
      <c r="I256" s="55">
        <f t="shared" si="68"/>
        <v>200</v>
      </c>
      <c r="J256" s="56" t="e">
        <f t="shared" si="66"/>
        <v>#REF!</v>
      </c>
      <c r="K256" s="55">
        <f t="shared" si="69"/>
        <v>200</v>
      </c>
      <c r="L256" s="55">
        <f t="shared" si="69"/>
        <v>200</v>
      </c>
      <c r="M256" s="55">
        <f t="shared" si="70"/>
        <v>200</v>
      </c>
      <c r="N256" s="207">
        <f t="shared" si="70"/>
        <v>200</v>
      </c>
      <c r="O256" s="207">
        <f t="shared" si="70"/>
        <v>200</v>
      </c>
      <c r="P256" s="261">
        <f t="shared" si="54"/>
        <v>100</v>
      </c>
    </row>
    <row r="257" spans="1:16" ht="25.5">
      <c r="A257" s="6" t="s">
        <v>97</v>
      </c>
      <c r="B257" s="11" t="s">
        <v>164</v>
      </c>
      <c r="C257" s="11" t="s">
        <v>176</v>
      </c>
      <c r="D257" s="11" t="s">
        <v>244</v>
      </c>
      <c r="E257" s="27" t="s">
        <v>52</v>
      </c>
      <c r="F257" s="110" t="s">
        <v>323</v>
      </c>
      <c r="G257" s="41"/>
      <c r="H257" s="55" t="e">
        <f>#REF!</f>
        <v>#REF!</v>
      </c>
      <c r="I257" s="55">
        <f>I258</f>
        <v>200</v>
      </c>
      <c r="J257" s="56" t="e">
        <f t="shared" si="66"/>
        <v>#REF!</v>
      </c>
      <c r="K257" s="55">
        <f t="shared" si="69"/>
        <v>200</v>
      </c>
      <c r="L257" s="55">
        <f t="shared" si="69"/>
        <v>200</v>
      </c>
      <c r="M257" s="55">
        <f t="shared" si="70"/>
        <v>200</v>
      </c>
      <c r="N257" s="207">
        <f t="shared" si="70"/>
        <v>200</v>
      </c>
      <c r="O257" s="207">
        <f t="shared" si="70"/>
        <v>200</v>
      </c>
      <c r="P257" s="261">
        <f t="shared" si="54"/>
        <v>100</v>
      </c>
    </row>
    <row r="258" spans="1:33" s="23" customFormat="1" ht="14.25">
      <c r="A258" s="6" t="s">
        <v>209</v>
      </c>
      <c r="B258" s="11" t="s">
        <v>164</v>
      </c>
      <c r="C258" s="11" t="s">
        <v>176</v>
      </c>
      <c r="D258" s="11" t="s">
        <v>244</v>
      </c>
      <c r="E258" s="12" t="s">
        <v>52</v>
      </c>
      <c r="F258" s="13" t="s">
        <v>323</v>
      </c>
      <c r="G258" s="34">
        <v>3</v>
      </c>
      <c r="H258" s="72">
        <v>200</v>
      </c>
      <c r="I258" s="55">
        <v>200</v>
      </c>
      <c r="J258" s="56">
        <f t="shared" si="66"/>
        <v>0</v>
      </c>
      <c r="K258" s="55">
        <v>200</v>
      </c>
      <c r="L258" s="55">
        <v>200</v>
      </c>
      <c r="M258" s="55">
        <v>200</v>
      </c>
      <c r="N258" s="207">
        <v>200</v>
      </c>
      <c r="O258" s="207">
        <v>200</v>
      </c>
      <c r="P258" s="261">
        <f t="shared" si="54"/>
        <v>100</v>
      </c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</row>
    <row r="259" spans="1:33" s="25" customFormat="1" ht="28.5">
      <c r="A259" s="2" t="s">
        <v>248</v>
      </c>
      <c r="B259" s="10" t="s">
        <v>165</v>
      </c>
      <c r="C259" s="10">
        <v>0</v>
      </c>
      <c r="D259" s="10">
        <v>0</v>
      </c>
      <c r="E259" s="10">
        <v>0</v>
      </c>
      <c r="F259" s="12">
        <v>0</v>
      </c>
      <c r="G259" s="7"/>
      <c r="H259" s="56" t="e">
        <f>H260+H278+H271</f>
        <v>#REF!</v>
      </c>
      <c r="I259" s="56" t="e">
        <f>I260+I278+I271+I266</f>
        <v>#REF!</v>
      </c>
      <c r="J259" s="56" t="e">
        <f t="shared" si="66"/>
        <v>#REF!</v>
      </c>
      <c r="K259" s="56" t="e">
        <f>K260+K278+K271+K266</f>
        <v>#REF!</v>
      </c>
      <c r="L259" s="56" t="e">
        <f>L260+L278+L271+L266</f>
        <v>#REF!</v>
      </c>
      <c r="M259" s="56" t="e">
        <f>M260+M278+M271+M266</f>
        <v>#REF!</v>
      </c>
      <c r="N259" s="208">
        <f>N260+N278+N271+N266</f>
        <v>13252.79</v>
      </c>
      <c r="O259" s="208">
        <f>O260+O278+O271+O266</f>
        <v>13252.79</v>
      </c>
      <c r="P259" s="261">
        <f t="shared" si="54"/>
        <v>100</v>
      </c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</row>
    <row r="260" spans="1:16" ht="14.25">
      <c r="A260" s="3" t="s">
        <v>70</v>
      </c>
      <c r="B260" s="10" t="s">
        <v>165</v>
      </c>
      <c r="C260" s="10" t="s">
        <v>140</v>
      </c>
      <c r="D260" s="10">
        <v>0</v>
      </c>
      <c r="E260" s="10">
        <v>0</v>
      </c>
      <c r="F260" s="10">
        <v>0</v>
      </c>
      <c r="G260" s="7"/>
      <c r="H260" s="56">
        <f aca="true" t="shared" si="71" ref="H260:I263">H261</f>
        <v>2031</v>
      </c>
      <c r="I260" s="56">
        <f t="shared" si="71"/>
        <v>1851</v>
      </c>
      <c r="J260" s="56">
        <f t="shared" si="66"/>
        <v>-180</v>
      </c>
      <c r="K260" s="56">
        <f aca="true" t="shared" si="72" ref="K260:L263">K261</f>
        <v>1851</v>
      </c>
      <c r="L260" s="56">
        <f t="shared" si="72"/>
        <v>1851</v>
      </c>
      <c r="M260" s="56">
        <f aca="true" t="shared" si="73" ref="M260:O263">M261</f>
        <v>2301.5</v>
      </c>
      <c r="N260" s="208">
        <f t="shared" si="73"/>
        <v>2419.3</v>
      </c>
      <c r="O260" s="208">
        <f t="shared" si="73"/>
        <v>2419.3</v>
      </c>
      <c r="P260" s="261">
        <f t="shared" si="54"/>
        <v>100</v>
      </c>
    </row>
    <row r="261" spans="1:16" ht="57">
      <c r="A261" s="4" t="s">
        <v>27</v>
      </c>
      <c r="B261" s="11" t="s">
        <v>165</v>
      </c>
      <c r="C261" s="11" t="s">
        <v>140</v>
      </c>
      <c r="D261" s="11" t="s">
        <v>175</v>
      </c>
      <c r="E261" s="11">
        <v>0</v>
      </c>
      <c r="F261" s="11"/>
      <c r="G261" s="34"/>
      <c r="H261" s="55">
        <f t="shared" si="71"/>
        <v>2031</v>
      </c>
      <c r="I261" s="55">
        <f t="shared" si="71"/>
        <v>1851</v>
      </c>
      <c r="J261" s="56">
        <f t="shared" si="66"/>
        <v>-180</v>
      </c>
      <c r="K261" s="55">
        <f t="shared" si="72"/>
        <v>1851</v>
      </c>
      <c r="L261" s="55">
        <f t="shared" si="72"/>
        <v>1851</v>
      </c>
      <c r="M261" s="55">
        <f t="shared" si="73"/>
        <v>2301.5</v>
      </c>
      <c r="N261" s="207">
        <f t="shared" si="73"/>
        <v>2419.3</v>
      </c>
      <c r="O261" s="207">
        <f t="shared" si="73"/>
        <v>2419.3</v>
      </c>
      <c r="P261" s="261">
        <f t="shared" si="54"/>
        <v>100</v>
      </c>
    </row>
    <row r="262" spans="1:16" ht="51">
      <c r="A262" s="5" t="s">
        <v>1</v>
      </c>
      <c r="B262" s="12" t="s">
        <v>165</v>
      </c>
      <c r="C262" s="11" t="s">
        <v>140</v>
      </c>
      <c r="D262" s="11" t="s">
        <v>175</v>
      </c>
      <c r="E262" s="12" t="s">
        <v>0</v>
      </c>
      <c r="F262" s="12"/>
      <c r="G262" s="34"/>
      <c r="H262" s="55">
        <f t="shared" si="71"/>
        <v>2031</v>
      </c>
      <c r="I262" s="55">
        <f t="shared" si="71"/>
        <v>1851</v>
      </c>
      <c r="J262" s="56">
        <f t="shared" si="66"/>
        <v>-180</v>
      </c>
      <c r="K262" s="55">
        <f t="shared" si="72"/>
        <v>1851</v>
      </c>
      <c r="L262" s="55">
        <f t="shared" si="72"/>
        <v>1851</v>
      </c>
      <c r="M262" s="55">
        <f t="shared" si="73"/>
        <v>2301.5</v>
      </c>
      <c r="N262" s="207">
        <f t="shared" si="73"/>
        <v>2419.3</v>
      </c>
      <c r="O262" s="207">
        <f t="shared" si="73"/>
        <v>2419.3</v>
      </c>
      <c r="P262" s="261">
        <f t="shared" si="54"/>
        <v>100</v>
      </c>
    </row>
    <row r="263" spans="1:16" ht="14.25">
      <c r="A263" s="5" t="s">
        <v>86</v>
      </c>
      <c r="B263" s="12" t="s">
        <v>165</v>
      </c>
      <c r="C263" s="11" t="s">
        <v>140</v>
      </c>
      <c r="D263" s="11" t="s">
        <v>175</v>
      </c>
      <c r="E263" s="12" t="s">
        <v>2</v>
      </c>
      <c r="F263" s="12"/>
      <c r="G263" s="34"/>
      <c r="H263" s="55">
        <f t="shared" si="71"/>
        <v>2031</v>
      </c>
      <c r="I263" s="55">
        <f t="shared" si="71"/>
        <v>1851</v>
      </c>
      <c r="J263" s="56">
        <f t="shared" si="66"/>
        <v>-180</v>
      </c>
      <c r="K263" s="55">
        <f t="shared" si="72"/>
        <v>1851</v>
      </c>
      <c r="L263" s="55">
        <f t="shared" si="72"/>
        <v>1851</v>
      </c>
      <c r="M263" s="55">
        <f t="shared" si="73"/>
        <v>2301.5</v>
      </c>
      <c r="N263" s="207">
        <f t="shared" si="73"/>
        <v>2419.3</v>
      </c>
      <c r="O263" s="207">
        <f t="shared" si="73"/>
        <v>2419.3</v>
      </c>
      <c r="P263" s="261">
        <f t="shared" si="54"/>
        <v>100</v>
      </c>
    </row>
    <row r="264" spans="1:16" ht="25.5">
      <c r="A264" s="6" t="s">
        <v>97</v>
      </c>
      <c r="B264" s="12" t="s">
        <v>165</v>
      </c>
      <c r="C264" s="11" t="s">
        <v>140</v>
      </c>
      <c r="D264" s="11" t="s">
        <v>175</v>
      </c>
      <c r="E264" s="12" t="s">
        <v>2</v>
      </c>
      <c r="F264" s="13" t="s">
        <v>323</v>
      </c>
      <c r="G264" s="34"/>
      <c r="H264" s="55">
        <f>H265</f>
        <v>2031</v>
      </c>
      <c r="I264" s="55">
        <f>I265</f>
        <v>1851</v>
      </c>
      <c r="J264" s="56">
        <f t="shared" si="66"/>
        <v>-180</v>
      </c>
      <c r="K264" s="55">
        <f>K265</f>
        <v>1851</v>
      </c>
      <c r="L264" s="55">
        <f>L265</f>
        <v>1851</v>
      </c>
      <c r="M264" s="55">
        <f>M265</f>
        <v>2301.5</v>
      </c>
      <c r="N264" s="207">
        <f>N265</f>
        <v>2419.3</v>
      </c>
      <c r="O264" s="207">
        <f>O265</f>
        <v>2419.3</v>
      </c>
      <c r="P264" s="261">
        <f t="shared" si="54"/>
        <v>100</v>
      </c>
    </row>
    <row r="265" spans="1:33" s="23" customFormat="1" ht="14.25">
      <c r="A265" s="6" t="s">
        <v>209</v>
      </c>
      <c r="B265" s="12" t="s">
        <v>165</v>
      </c>
      <c r="C265" s="11" t="s">
        <v>140</v>
      </c>
      <c r="D265" s="11" t="s">
        <v>175</v>
      </c>
      <c r="E265" s="12" t="s">
        <v>2</v>
      </c>
      <c r="F265" s="13" t="s">
        <v>323</v>
      </c>
      <c r="G265" s="34">
        <v>3</v>
      </c>
      <c r="H265" s="60">
        <v>2031</v>
      </c>
      <c r="I265" s="60">
        <f>2031-180</f>
        <v>1851</v>
      </c>
      <c r="J265" s="56">
        <f t="shared" si="66"/>
        <v>-180</v>
      </c>
      <c r="K265" s="60">
        <f>2031-180</f>
        <v>1851</v>
      </c>
      <c r="L265" s="60">
        <f>2031-180</f>
        <v>1851</v>
      </c>
      <c r="M265" s="60">
        <f>2455.5-209-45+100</f>
        <v>2301.5</v>
      </c>
      <c r="N265" s="222">
        <v>2419.3</v>
      </c>
      <c r="O265" s="222">
        <v>2419.3</v>
      </c>
      <c r="P265" s="261">
        <f t="shared" si="54"/>
        <v>100</v>
      </c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</row>
    <row r="266" spans="1:16" ht="14.25">
      <c r="A266" s="42" t="s">
        <v>263</v>
      </c>
      <c r="B266" s="12" t="s">
        <v>165</v>
      </c>
      <c r="C266" s="11" t="s">
        <v>264</v>
      </c>
      <c r="D266" s="11"/>
      <c r="E266" s="12"/>
      <c r="F266" s="13"/>
      <c r="G266" s="34"/>
      <c r="H266" s="60"/>
      <c r="I266" s="60">
        <f>I267</f>
        <v>767.9</v>
      </c>
      <c r="J266" s="56"/>
      <c r="K266" s="60">
        <f aca="true" t="shared" si="74" ref="K266:L269">K267</f>
        <v>767.9</v>
      </c>
      <c r="L266" s="60">
        <f t="shared" si="74"/>
        <v>767.9</v>
      </c>
      <c r="M266" s="60">
        <f aca="true" t="shared" si="75" ref="M266:O269">M267</f>
        <v>787.5</v>
      </c>
      <c r="N266" s="222">
        <f t="shared" si="75"/>
        <v>847.5</v>
      </c>
      <c r="O266" s="222">
        <f t="shared" si="75"/>
        <v>847.5</v>
      </c>
      <c r="P266" s="261">
        <f t="shared" si="54"/>
        <v>100</v>
      </c>
    </row>
    <row r="267" spans="1:16" ht="27" customHeight="1">
      <c r="A267" s="6" t="s">
        <v>266</v>
      </c>
      <c r="B267" s="12" t="s">
        <v>165</v>
      </c>
      <c r="C267" s="11" t="s">
        <v>264</v>
      </c>
      <c r="D267" s="11" t="s">
        <v>265</v>
      </c>
      <c r="E267" s="12"/>
      <c r="F267" s="13"/>
      <c r="G267" s="34"/>
      <c r="H267" s="60"/>
      <c r="I267" s="60">
        <f>I268</f>
        <v>767.9</v>
      </c>
      <c r="J267" s="56"/>
      <c r="K267" s="60">
        <f t="shared" si="74"/>
        <v>767.9</v>
      </c>
      <c r="L267" s="60">
        <f t="shared" si="74"/>
        <v>767.9</v>
      </c>
      <c r="M267" s="60">
        <f t="shared" si="75"/>
        <v>787.5</v>
      </c>
      <c r="N267" s="222">
        <f t="shared" si="75"/>
        <v>847.5</v>
      </c>
      <c r="O267" s="222">
        <f t="shared" si="75"/>
        <v>847.5</v>
      </c>
      <c r="P267" s="261">
        <f t="shared" si="54"/>
        <v>100</v>
      </c>
    </row>
    <row r="268" spans="1:16" ht="52.5" customHeight="1">
      <c r="A268" s="6" t="s">
        <v>135</v>
      </c>
      <c r="B268" s="12" t="s">
        <v>165</v>
      </c>
      <c r="C268" s="11" t="s">
        <v>264</v>
      </c>
      <c r="D268" s="11" t="s">
        <v>265</v>
      </c>
      <c r="E268" s="12" t="s">
        <v>134</v>
      </c>
      <c r="F268" s="13"/>
      <c r="G268" s="34"/>
      <c r="H268" s="60"/>
      <c r="I268" s="60">
        <f>I269</f>
        <v>767.9</v>
      </c>
      <c r="J268" s="56"/>
      <c r="K268" s="60">
        <f t="shared" si="74"/>
        <v>767.9</v>
      </c>
      <c r="L268" s="60">
        <f t="shared" si="74"/>
        <v>767.9</v>
      </c>
      <c r="M268" s="60">
        <f t="shared" si="75"/>
        <v>787.5</v>
      </c>
      <c r="N268" s="222">
        <f t="shared" si="75"/>
        <v>847.5</v>
      </c>
      <c r="O268" s="222">
        <f t="shared" si="75"/>
        <v>847.5</v>
      </c>
      <c r="P268" s="261">
        <f aca="true" t="shared" si="76" ref="P268:P331">O268/N268*100</f>
        <v>100</v>
      </c>
    </row>
    <row r="269" spans="1:16" ht="14.25">
      <c r="A269" s="6" t="s">
        <v>310</v>
      </c>
      <c r="B269" s="12" t="s">
        <v>165</v>
      </c>
      <c r="C269" s="11" t="s">
        <v>264</v>
      </c>
      <c r="D269" s="11" t="s">
        <v>265</v>
      </c>
      <c r="E269" s="12" t="s">
        <v>134</v>
      </c>
      <c r="F269" s="13" t="s">
        <v>311</v>
      </c>
      <c r="G269" s="34"/>
      <c r="H269" s="60"/>
      <c r="I269" s="60">
        <f>I270</f>
        <v>767.9</v>
      </c>
      <c r="J269" s="56"/>
      <c r="K269" s="60">
        <f t="shared" si="74"/>
        <v>767.9</v>
      </c>
      <c r="L269" s="60">
        <f t="shared" si="74"/>
        <v>767.9</v>
      </c>
      <c r="M269" s="60">
        <f t="shared" si="75"/>
        <v>787.5</v>
      </c>
      <c r="N269" s="222">
        <f t="shared" si="75"/>
        <v>847.5</v>
      </c>
      <c r="O269" s="222">
        <f t="shared" si="75"/>
        <v>847.5</v>
      </c>
      <c r="P269" s="261">
        <f t="shared" si="76"/>
        <v>100</v>
      </c>
    </row>
    <row r="270" spans="1:33" s="83" customFormat="1" ht="14.25">
      <c r="A270" s="6" t="s">
        <v>210</v>
      </c>
      <c r="B270" s="12" t="s">
        <v>165</v>
      </c>
      <c r="C270" s="11" t="s">
        <v>264</v>
      </c>
      <c r="D270" s="11" t="s">
        <v>265</v>
      </c>
      <c r="E270" s="12" t="s">
        <v>134</v>
      </c>
      <c r="F270" s="13" t="s">
        <v>311</v>
      </c>
      <c r="G270" s="34">
        <v>1</v>
      </c>
      <c r="H270" s="60"/>
      <c r="I270" s="60">
        <v>767.9</v>
      </c>
      <c r="J270" s="56"/>
      <c r="K270" s="60">
        <v>767.9</v>
      </c>
      <c r="L270" s="60">
        <v>767.9</v>
      </c>
      <c r="M270" s="60">
        <f>791.7-4.2</f>
        <v>787.5</v>
      </c>
      <c r="N270" s="222">
        <v>847.5</v>
      </c>
      <c r="O270" s="222">
        <v>847.5</v>
      </c>
      <c r="P270" s="261">
        <f t="shared" si="76"/>
        <v>100</v>
      </c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</row>
    <row r="271" spans="1:16" ht="26.25" customHeight="1">
      <c r="A271" s="44" t="s">
        <v>150</v>
      </c>
      <c r="B271" s="42" t="s">
        <v>165</v>
      </c>
      <c r="C271" s="42" t="s">
        <v>143</v>
      </c>
      <c r="D271" s="42"/>
      <c r="E271" s="42"/>
      <c r="F271" s="43"/>
      <c r="G271" s="34"/>
      <c r="H271" s="58">
        <f>H272</f>
        <v>12732.533</v>
      </c>
      <c r="I271" s="58">
        <f>I272</f>
        <v>50</v>
      </c>
      <c r="J271" s="56">
        <f aca="true" t="shared" si="77" ref="J271:J284">I271-H271</f>
        <v>-12682.533</v>
      </c>
      <c r="K271" s="58">
        <f>K272</f>
        <v>50</v>
      </c>
      <c r="L271" s="58">
        <f>L272</f>
        <v>170.728</v>
      </c>
      <c r="M271" s="58">
        <f>M272</f>
        <v>0</v>
      </c>
      <c r="N271" s="217">
        <f>N272</f>
        <v>0</v>
      </c>
      <c r="O271" s="217">
        <f>O272</f>
        <v>0</v>
      </c>
      <c r="P271" s="261"/>
    </row>
    <row r="272" spans="1:16" ht="39" customHeight="1">
      <c r="A272" s="6" t="s">
        <v>151</v>
      </c>
      <c r="B272" s="12" t="s">
        <v>165</v>
      </c>
      <c r="C272" s="12" t="s">
        <v>143</v>
      </c>
      <c r="D272" s="12" t="s">
        <v>190</v>
      </c>
      <c r="E272" s="12"/>
      <c r="F272" s="13"/>
      <c r="G272" s="34"/>
      <c r="H272" s="58">
        <f>H273+H275</f>
        <v>12732.533</v>
      </c>
      <c r="I272" s="58">
        <f>I273+I275</f>
        <v>50</v>
      </c>
      <c r="J272" s="56">
        <f t="shared" si="77"/>
        <v>-12682.533</v>
      </c>
      <c r="K272" s="58">
        <f>K273+K275</f>
        <v>50</v>
      </c>
      <c r="L272" s="58">
        <f>L273+L275</f>
        <v>170.728</v>
      </c>
      <c r="M272" s="58">
        <f>M273+M275</f>
        <v>0</v>
      </c>
      <c r="N272" s="217">
        <f>N273+N275</f>
        <v>0</v>
      </c>
      <c r="O272" s="217">
        <f>O273+O275</f>
        <v>0</v>
      </c>
      <c r="P272" s="261"/>
    </row>
    <row r="273" spans="1:16" ht="90" customHeight="1">
      <c r="A273" s="6" t="s">
        <v>152</v>
      </c>
      <c r="B273" s="12" t="s">
        <v>165</v>
      </c>
      <c r="C273" s="12" t="s">
        <v>143</v>
      </c>
      <c r="D273" s="12" t="s">
        <v>190</v>
      </c>
      <c r="E273" s="12" t="s">
        <v>153</v>
      </c>
      <c r="F273" s="101" t="s">
        <v>154</v>
      </c>
      <c r="G273" s="34"/>
      <c r="H273" s="58">
        <f>H274</f>
        <v>11861.353</v>
      </c>
      <c r="I273" s="58">
        <f>I274</f>
        <v>0</v>
      </c>
      <c r="J273" s="56">
        <f t="shared" si="77"/>
        <v>-11861.353</v>
      </c>
      <c r="K273" s="58">
        <f>K274</f>
        <v>0</v>
      </c>
      <c r="L273" s="58">
        <f>L274</f>
        <v>0</v>
      </c>
      <c r="M273" s="58">
        <f>M274</f>
        <v>0</v>
      </c>
      <c r="N273" s="217">
        <f>N274</f>
        <v>0</v>
      </c>
      <c r="O273" s="217">
        <f>O274</f>
        <v>0</v>
      </c>
      <c r="P273" s="261"/>
    </row>
    <row r="274" spans="1:33" s="69" customFormat="1" ht="18" customHeight="1">
      <c r="A274" s="5" t="s">
        <v>210</v>
      </c>
      <c r="B274" s="12" t="s">
        <v>165</v>
      </c>
      <c r="C274" s="12" t="s">
        <v>143</v>
      </c>
      <c r="D274" s="12" t="s">
        <v>190</v>
      </c>
      <c r="E274" s="12" t="s">
        <v>153</v>
      </c>
      <c r="F274" s="101" t="s">
        <v>154</v>
      </c>
      <c r="G274" s="34">
        <v>1</v>
      </c>
      <c r="H274" s="58">
        <v>11861.353</v>
      </c>
      <c r="I274" s="58"/>
      <c r="J274" s="56">
        <f t="shared" si="77"/>
        <v>-11861.353</v>
      </c>
      <c r="K274" s="58"/>
      <c r="L274" s="58"/>
      <c r="M274" s="58"/>
      <c r="N274" s="217"/>
      <c r="O274" s="217"/>
      <c r="P274" s="261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</row>
    <row r="275" spans="1:16" ht="104.25" customHeight="1">
      <c r="A275" s="6" t="s">
        <v>152</v>
      </c>
      <c r="B275" s="12" t="s">
        <v>165</v>
      </c>
      <c r="C275" s="12" t="s">
        <v>143</v>
      </c>
      <c r="D275" s="12" t="s">
        <v>190</v>
      </c>
      <c r="E275" s="12" t="s">
        <v>155</v>
      </c>
      <c r="F275" s="101" t="s">
        <v>154</v>
      </c>
      <c r="G275" s="34"/>
      <c r="H275" s="58">
        <f>H276+H277</f>
        <v>871.18</v>
      </c>
      <c r="I275" s="58">
        <f>I277+I276</f>
        <v>50</v>
      </c>
      <c r="J275" s="56">
        <f t="shared" si="77"/>
        <v>-821.18</v>
      </c>
      <c r="K275" s="58">
        <f>K277+K276</f>
        <v>50</v>
      </c>
      <c r="L275" s="58">
        <f>L277+L276</f>
        <v>170.728</v>
      </c>
      <c r="M275" s="58">
        <f>M276+M277</f>
        <v>0</v>
      </c>
      <c r="N275" s="217">
        <f>N276+N277</f>
        <v>0</v>
      </c>
      <c r="O275" s="217">
        <f>O276+O277</f>
        <v>0</v>
      </c>
      <c r="P275" s="261"/>
    </row>
    <row r="276" spans="1:33" s="68" customFormat="1" ht="15.75" customHeight="1">
      <c r="A276" s="6" t="s">
        <v>211</v>
      </c>
      <c r="B276" s="12" t="s">
        <v>165</v>
      </c>
      <c r="C276" s="12" t="s">
        <v>143</v>
      </c>
      <c r="D276" s="12" t="s">
        <v>190</v>
      </c>
      <c r="E276" s="12" t="s">
        <v>155</v>
      </c>
      <c r="F276" s="101" t="s">
        <v>154</v>
      </c>
      <c r="G276" s="34">
        <v>2</v>
      </c>
      <c r="H276" s="58">
        <v>793.833</v>
      </c>
      <c r="I276" s="58"/>
      <c r="J276" s="56">
        <f t="shared" si="77"/>
        <v>-793.833</v>
      </c>
      <c r="K276" s="58"/>
      <c r="L276" s="58"/>
      <c r="M276" s="58"/>
      <c r="N276" s="217"/>
      <c r="O276" s="217"/>
      <c r="P276" s="261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</row>
    <row r="277" spans="1:33" s="23" customFormat="1" ht="21" customHeight="1">
      <c r="A277" s="5" t="s">
        <v>209</v>
      </c>
      <c r="B277" s="12" t="s">
        <v>165</v>
      </c>
      <c r="C277" s="12" t="s">
        <v>143</v>
      </c>
      <c r="D277" s="12" t="s">
        <v>190</v>
      </c>
      <c r="E277" s="12" t="s">
        <v>155</v>
      </c>
      <c r="F277" s="13" t="s">
        <v>154</v>
      </c>
      <c r="G277" s="34">
        <v>3</v>
      </c>
      <c r="H277" s="58">
        <v>77.347</v>
      </c>
      <c r="I277" s="58">
        <v>50</v>
      </c>
      <c r="J277" s="56">
        <f t="shared" si="77"/>
        <v>-27.346999999999994</v>
      </c>
      <c r="K277" s="58">
        <v>50</v>
      </c>
      <c r="L277" s="58">
        <f>50+120.728</f>
        <v>170.728</v>
      </c>
      <c r="M277" s="58"/>
      <c r="N277" s="217"/>
      <c r="O277" s="217"/>
      <c r="P277" s="261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</row>
    <row r="278" spans="1:16" ht="57">
      <c r="A278" s="3" t="s">
        <v>257</v>
      </c>
      <c r="B278" s="10" t="s">
        <v>165</v>
      </c>
      <c r="C278" s="10" t="s">
        <v>258</v>
      </c>
      <c r="D278" s="10">
        <v>0</v>
      </c>
      <c r="E278" s="10">
        <v>0</v>
      </c>
      <c r="F278" s="10">
        <v>0</v>
      </c>
      <c r="G278" s="10">
        <v>0</v>
      </c>
      <c r="H278" s="56" t="e">
        <f>H279+#REF!+H289</f>
        <v>#REF!</v>
      </c>
      <c r="I278" s="56" t="e">
        <f>I279+#REF!+I289+#REF!</f>
        <v>#REF!</v>
      </c>
      <c r="J278" s="56" t="e">
        <f t="shared" si="77"/>
        <v>#REF!</v>
      </c>
      <c r="K278" s="56" t="e">
        <f>K279+#REF!+K289+#REF!</f>
        <v>#REF!</v>
      </c>
      <c r="L278" s="56" t="e">
        <f>L279+#REF!+L289+#REF!</f>
        <v>#REF!</v>
      </c>
      <c r="M278" s="56" t="e">
        <f>M279+#REF!+M289+#REF!+M285</f>
        <v>#REF!</v>
      </c>
      <c r="N278" s="208">
        <f>N279+N289+N285</f>
        <v>9985.99</v>
      </c>
      <c r="O278" s="208">
        <f>O279+O289+O285</f>
        <v>9985.99</v>
      </c>
      <c r="P278" s="261">
        <f t="shared" si="76"/>
        <v>100</v>
      </c>
    </row>
    <row r="279" spans="1:16" ht="42.75">
      <c r="A279" s="4" t="s">
        <v>259</v>
      </c>
      <c r="B279" s="11" t="s">
        <v>165</v>
      </c>
      <c r="C279" s="11" t="s">
        <v>258</v>
      </c>
      <c r="D279" s="11" t="s">
        <v>260</v>
      </c>
      <c r="E279" s="11">
        <v>0</v>
      </c>
      <c r="F279" s="11"/>
      <c r="G279" s="11"/>
      <c r="H279" s="55" t="e">
        <f>H280+H286</f>
        <v>#REF!</v>
      </c>
      <c r="I279" s="55" t="e">
        <f>I280+I286</f>
        <v>#REF!</v>
      </c>
      <c r="J279" s="56" t="e">
        <f t="shared" si="77"/>
        <v>#REF!</v>
      </c>
      <c r="K279" s="55" t="e">
        <f>K280+K286</f>
        <v>#REF!</v>
      </c>
      <c r="L279" s="55" t="e">
        <f>L280+L286</f>
        <v>#REF!</v>
      </c>
      <c r="M279" s="55" t="e">
        <f aca="true" t="shared" si="78" ref="M279:O282">M280</f>
        <v>#REF!</v>
      </c>
      <c r="N279" s="207">
        <f t="shared" si="78"/>
        <v>8817.1</v>
      </c>
      <c r="O279" s="207">
        <f t="shared" si="78"/>
        <v>8817.1</v>
      </c>
      <c r="P279" s="261">
        <f t="shared" si="76"/>
        <v>100</v>
      </c>
    </row>
    <row r="280" spans="1:16" ht="38.25">
      <c r="A280" s="105" t="s">
        <v>346</v>
      </c>
      <c r="B280" s="12" t="s">
        <v>165</v>
      </c>
      <c r="C280" s="11" t="s">
        <v>258</v>
      </c>
      <c r="D280" s="11" t="s">
        <v>260</v>
      </c>
      <c r="E280" s="12" t="s">
        <v>128</v>
      </c>
      <c r="F280" s="12"/>
      <c r="G280" s="12"/>
      <c r="H280" s="55" t="e">
        <f>#REF!</f>
        <v>#REF!</v>
      </c>
      <c r="I280" s="55" t="e">
        <f>#REF!</f>
        <v>#REF!</v>
      </c>
      <c r="J280" s="56" t="e">
        <f t="shared" si="77"/>
        <v>#REF!</v>
      </c>
      <c r="K280" s="55" t="e">
        <f>#REF!</f>
        <v>#REF!</v>
      </c>
      <c r="L280" s="55" t="e">
        <f>#REF!</f>
        <v>#REF!</v>
      </c>
      <c r="M280" s="55" t="e">
        <f>#REF!</f>
        <v>#REF!</v>
      </c>
      <c r="N280" s="207">
        <f>N281</f>
        <v>8817.1</v>
      </c>
      <c r="O280" s="207">
        <f>O281</f>
        <v>8817.1</v>
      </c>
      <c r="P280" s="261">
        <f t="shared" si="76"/>
        <v>100</v>
      </c>
    </row>
    <row r="281" spans="1:16" ht="14.25">
      <c r="A281" s="5" t="s">
        <v>131</v>
      </c>
      <c r="B281" s="12" t="s">
        <v>165</v>
      </c>
      <c r="C281" s="11" t="s">
        <v>258</v>
      </c>
      <c r="D281" s="11" t="s">
        <v>260</v>
      </c>
      <c r="E281" s="37" t="s">
        <v>129</v>
      </c>
      <c r="F281" s="12"/>
      <c r="G281" s="12"/>
      <c r="H281" s="55" t="e">
        <f>H283</f>
        <v>#REF!</v>
      </c>
      <c r="I281" s="55" t="e">
        <f>I283</f>
        <v>#REF!</v>
      </c>
      <c r="J281" s="56" t="e">
        <f t="shared" si="77"/>
        <v>#REF!</v>
      </c>
      <c r="K281" s="55" t="e">
        <f>K283</f>
        <v>#REF!</v>
      </c>
      <c r="L281" s="55" t="e">
        <f>L283</f>
        <v>#REF!</v>
      </c>
      <c r="M281" s="55" t="e">
        <f t="shared" si="78"/>
        <v>#REF!</v>
      </c>
      <c r="N281" s="207">
        <f t="shared" si="78"/>
        <v>8817.1</v>
      </c>
      <c r="O281" s="207">
        <f t="shared" si="78"/>
        <v>8817.1</v>
      </c>
      <c r="P281" s="261">
        <f t="shared" si="76"/>
        <v>100</v>
      </c>
    </row>
    <row r="282" spans="1:16" ht="38.25">
      <c r="A282" s="5" t="s">
        <v>132</v>
      </c>
      <c r="B282" s="12" t="s">
        <v>165</v>
      </c>
      <c r="C282" s="11" t="s">
        <v>258</v>
      </c>
      <c r="D282" s="11" t="s">
        <v>260</v>
      </c>
      <c r="E282" s="12" t="s">
        <v>130</v>
      </c>
      <c r="F282" s="12"/>
      <c r="G282" s="12"/>
      <c r="H282" s="55"/>
      <c r="I282" s="55"/>
      <c r="J282" s="56"/>
      <c r="K282" s="55"/>
      <c r="L282" s="55"/>
      <c r="M282" s="55" t="e">
        <f t="shared" si="78"/>
        <v>#REF!</v>
      </c>
      <c r="N282" s="207">
        <f t="shared" si="78"/>
        <v>8817.1</v>
      </c>
      <c r="O282" s="207">
        <f t="shared" si="78"/>
        <v>8817.1</v>
      </c>
      <c r="P282" s="261">
        <f t="shared" si="76"/>
        <v>100</v>
      </c>
    </row>
    <row r="283" spans="1:16" ht="46.5" customHeight="1">
      <c r="A283" s="116" t="s">
        <v>363</v>
      </c>
      <c r="B283" s="12" t="s">
        <v>165</v>
      </c>
      <c r="C283" s="11" t="s">
        <v>258</v>
      </c>
      <c r="D283" s="11" t="s">
        <v>260</v>
      </c>
      <c r="E283" s="12" t="s">
        <v>130</v>
      </c>
      <c r="F283" s="13" t="s">
        <v>312</v>
      </c>
      <c r="G283" s="13"/>
      <c r="H283" s="55" t="e">
        <f>H284+#REF!</f>
        <v>#REF!</v>
      </c>
      <c r="I283" s="55" t="e">
        <f>I284+#REF!</f>
        <v>#REF!</v>
      </c>
      <c r="J283" s="56" t="e">
        <f t="shared" si="77"/>
        <v>#REF!</v>
      </c>
      <c r="K283" s="55" t="e">
        <f>K284+#REF!</f>
        <v>#REF!</v>
      </c>
      <c r="L283" s="55" t="e">
        <f>L284+#REF!</f>
        <v>#REF!</v>
      </c>
      <c r="M283" s="55" t="e">
        <f>M284+#REF!</f>
        <v>#REF!</v>
      </c>
      <c r="N283" s="207">
        <f>N284</f>
        <v>8817.1</v>
      </c>
      <c r="O283" s="207">
        <f>O284</f>
        <v>8817.1</v>
      </c>
      <c r="P283" s="261">
        <f t="shared" si="76"/>
        <v>100</v>
      </c>
    </row>
    <row r="284" spans="1:33" s="68" customFormat="1" ht="14.25">
      <c r="A284" s="6" t="s">
        <v>215</v>
      </c>
      <c r="B284" s="12" t="s">
        <v>165</v>
      </c>
      <c r="C284" s="11" t="s">
        <v>258</v>
      </c>
      <c r="D284" s="11" t="s">
        <v>260</v>
      </c>
      <c r="E284" s="12" t="s">
        <v>130</v>
      </c>
      <c r="F284" s="13" t="s">
        <v>312</v>
      </c>
      <c r="G284" s="13" t="s">
        <v>214</v>
      </c>
      <c r="H284" s="72">
        <v>8404</v>
      </c>
      <c r="I284" s="55">
        <v>8816.4</v>
      </c>
      <c r="J284" s="56">
        <f t="shared" si="77"/>
        <v>412.39999999999964</v>
      </c>
      <c r="K284" s="55">
        <v>8816.4</v>
      </c>
      <c r="L284" s="55">
        <v>8816.4</v>
      </c>
      <c r="M284" s="55">
        <v>8455</v>
      </c>
      <c r="N284" s="207">
        <v>8817.1</v>
      </c>
      <c r="O284" s="207">
        <v>8817.1</v>
      </c>
      <c r="P284" s="261">
        <f t="shared" si="76"/>
        <v>100</v>
      </c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</row>
    <row r="285" spans="1:16" s="24" customFormat="1" ht="14.25">
      <c r="A285" s="36" t="s">
        <v>261</v>
      </c>
      <c r="B285" s="42" t="s">
        <v>165</v>
      </c>
      <c r="C285" s="45" t="s">
        <v>258</v>
      </c>
      <c r="D285" s="45" t="s">
        <v>262</v>
      </c>
      <c r="E285" s="42"/>
      <c r="F285" s="43"/>
      <c r="G285" s="43"/>
      <c r="H285" s="104"/>
      <c r="I285" s="57"/>
      <c r="J285" s="56"/>
      <c r="K285" s="57"/>
      <c r="L285" s="57"/>
      <c r="M285" s="57">
        <f aca="true" t="shared" si="79" ref="M285:O287">M286</f>
        <v>600</v>
      </c>
      <c r="N285" s="213">
        <f t="shared" si="79"/>
        <v>310</v>
      </c>
      <c r="O285" s="213">
        <f t="shared" si="79"/>
        <v>310</v>
      </c>
      <c r="P285" s="261">
        <f t="shared" si="76"/>
        <v>100</v>
      </c>
    </row>
    <row r="286" spans="1:16" ht="25.5">
      <c r="A286" s="5" t="s">
        <v>230</v>
      </c>
      <c r="B286" s="12" t="s">
        <v>165</v>
      </c>
      <c r="C286" s="11" t="s">
        <v>258</v>
      </c>
      <c r="D286" s="11" t="s">
        <v>262</v>
      </c>
      <c r="E286" s="12" t="s">
        <v>229</v>
      </c>
      <c r="F286" s="13"/>
      <c r="G286" s="13"/>
      <c r="H286" s="55">
        <f>H287</f>
        <v>1300</v>
      </c>
      <c r="I286" s="55">
        <f>I287</f>
        <v>1500</v>
      </c>
      <c r="J286" s="56">
        <f>I286-H286</f>
        <v>200</v>
      </c>
      <c r="K286" s="55">
        <f>K287</f>
        <v>1500</v>
      </c>
      <c r="L286" s="55">
        <f>L287</f>
        <v>1500</v>
      </c>
      <c r="M286" s="55">
        <f t="shared" si="79"/>
        <v>600</v>
      </c>
      <c r="N286" s="207">
        <f t="shared" si="79"/>
        <v>310</v>
      </c>
      <c r="O286" s="207">
        <f t="shared" si="79"/>
        <v>310</v>
      </c>
      <c r="P286" s="261">
        <f t="shared" si="76"/>
        <v>100</v>
      </c>
    </row>
    <row r="287" spans="1:16" ht="38.25">
      <c r="A287" s="6" t="s">
        <v>314</v>
      </c>
      <c r="B287" s="12" t="s">
        <v>165</v>
      </c>
      <c r="C287" s="11" t="s">
        <v>258</v>
      </c>
      <c r="D287" s="11" t="s">
        <v>262</v>
      </c>
      <c r="E287" s="12" t="s">
        <v>229</v>
      </c>
      <c r="F287" s="13" t="s">
        <v>313</v>
      </c>
      <c r="G287" s="13"/>
      <c r="H287" s="55">
        <f>H288</f>
        <v>1300</v>
      </c>
      <c r="I287" s="55">
        <f>I288</f>
        <v>1500</v>
      </c>
      <c r="J287" s="56">
        <f>I287-H287</f>
        <v>200</v>
      </c>
      <c r="K287" s="55">
        <f>K288</f>
        <v>1500</v>
      </c>
      <c r="L287" s="55">
        <f>L288</f>
        <v>1500</v>
      </c>
      <c r="M287" s="55">
        <f t="shared" si="79"/>
        <v>600</v>
      </c>
      <c r="N287" s="207">
        <f t="shared" si="79"/>
        <v>310</v>
      </c>
      <c r="O287" s="207">
        <f t="shared" si="79"/>
        <v>310</v>
      </c>
      <c r="P287" s="261">
        <f t="shared" si="76"/>
        <v>100</v>
      </c>
    </row>
    <row r="288" spans="1:33" s="23" customFormat="1" ht="15.75" customHeight="1">
      <c r="A288" s="5" t="s">
        <v>209</v>
      </c>
      <c r="B288" s="12" t="s">
        <v>165</v>
      </c>
      <c r="C288" s="11" t="s">
        <v>258</v>
      </c>
      <c r="D288" s="11" t="s">
        <v>262</v>
      </c>
      <c r="E288" s="12" t="s">
        <v>229</v>
      </c>
      <c r="F288" s="13" t="s">
        <v>313</v>
      </c>
      <c r="G288" s="13" t="s">
        <v>212</v>
      </c>
      <c r="H288" s="72">
        <v>1300</v>
      </c>
      <c r="I288" s="55">
        <v>1500</v>
      </c>
      <c r="J288" s="56">
        <f>I288-H288</f>
        <v>200</v>
      </c>
      <c r="K288" s="55">
        <v>1500</v>
      </c>
      <c r="L288" s="55">
        <v>1500</v>
      </c>
      <c r="M288" s="55">
        <f>1500-400-500</f>
        <v>600</v>
      </c>
      <c r="N288" s="207">
        <f>600+400-400-450+160</f>
        <v>310</v>
      </c>
      <c r="O288" s="207">
        <f>600+400-400-450+160</f>
        <v>310</v>
      </c>
      <c r="P288" s="261">
        <f t="shared" si="76"/>
        <v>100</v>
      </c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</row>
    <row r="289" spans="1:16" ht="30.75" customHeight="1">
      <c r="A289" s="36" t="s">
        <v>276</v>
      </c>
      <c r="B289" s="45" t="s">
        <v>165</v>
      </c>
      <c r="C289" s="45" t="s">
        <v>258</v>
      </c>
      <c r="D289" s="45" t="s">
        <v>274</v>
      </c>
      <c r="E289" s="11">
        <v>0</v>
      </c>
      <c r="F289" s="11"/>
      <c r="G289" s="34"/>
      <c r="H289" s="55">
        <f>H297+H300</f>
        <v>288</v>
      </c>
      <c r="I289" s="55">
        <f>I297+I300</f>
        <v>0</v>
      </c>
      <c r="J289" s="56">
        <f>I289-H289</f>
        <v>-288</v>
      </c>
      <c r="K289" s="55">
        <f>K297+K300</f>
        <v>0</v>
      </c>
      <c r="L289" s="55">
        <f>L297+L300</f>
        <v>384.6</v>
      </c>
      <c r="M289" s="55">
        <f>M290+M300+M303+M293</f>
        <v>0</v>
      </c>
      <c r="N289" s="207">
        <f>N290+N300+N303+N293</f>
        <v>858.89</v>
      </c>
      <c r="O289" s="207">
        <f>O290+O300+O303+O293</f>
        <v>858.89</v>
      </c>
      <c r="P289" s="261">
        <f t="shared" si="76"/>
        <v>100</v>
      </c>
    </row>
    <row r="290" spans="1:16" ht="42" customHeight="1">
      <c r="A290" s="105" t="s">
        <v>375</v>
      </c>
      <c r="B290" s="12" t="s">
        <v>165</v>
      </c>
      <c r="C290" s="11" t="s">
        <v>258</v>
      </c>
      <c r="D290" s="11" t="s">
        <v>274</v>
      </c>
      <c r="E290" s="37" t="s">
        <v>161</v>
      </c>
      <c r="F290" s="12"/>
      <c r="G290" s="34"/>
      <c r="H290" s="55"/>
      <c r="I290" s="55"/>
      <c r="J290" s="56"/>
      <c r="K290" s="55"/>
      <c r="L290" s="55"/>
      <c r="M290" s="55">
        <f aca="true" t="shared" si="80" ref="M290:O291">M291</f>
        <v>0</v>
      </c>
      <c r="N290" s="207">
        <f t="shared" si="80"/>
        <v>365</v>
      </c>
      <c r="O290" s="207">
        <f t="shared" si="80"/>
        <v>365</v>
      </c>
      <c r="P290" s="261">
        <f t="shared" si="76"/>
        <v>100</v>
      </c>
    </row>
    <row r="291" spans="1:16" ht="17.25" customHeight="1">
      <c r="A291" s="105" t="s">
        <v>195</v>
      </c>
      <c r="B291" s="12" t="s">
        <v>165</v>
      </c>
      <c r="C291" s="11" t="s">
        <v>258</v>
      </c>
      <c r="D291" s="11" t="s">
        <v>274</v>
      </c>
      <c r="E291" s="37" t="s">
        <v>161</v>
      </c>
      <c r="F291" s="37" t="s">
        <v>376</v>
      </c>
      <c r="G291" s="34"/>
      <c r="H291" s="55"/>
      <c r="I291" s="55"/>
      <c r="J291" s="56"/>
      <c r="K291" s="55"/>
      <c r="L291" s="55"/>
      <c r="M291" s="55">
        <f t="shared" si="80"/>
        <v>0</v>
      </c>
      <c r="N291" s="207">
        <f t="shared" si="80"/>
        <v>365</v>
      </c>
      <c r="O291" s="207">
        <f t="shared" si="80"/>
        <v>365</v>
      </c>
      <c r="P291" s="261">
        <f t="shared" si="76"/>
        <v>100</v>
      </c>
    </row>
    <row r="292" spans="1:16" ht="13.5" customHeight="1">
      <c r="A292" s="6" t="s">
        <v>211</v>
      </c>
      <c r="B292" s="12" t="s">
        <v>165</v>
      </c>
      <c r="C292" s="11" t="s">
        <v>258</v>
      </c>
      <c r="D292" s="11" t="s">
        <v>274</v>
      </c>
      <c r="E292" s="37" t="s">
        <v>161</v>
      </c>
      <c r="F292" s="37" t="s">
        <v>376</v>
      </c>
      <c r="G292" s="34">
        <v>2</v>
      </c>
      <c r="H292" s="55"/>
      <c r="I292" s="55"/>
      <c r="J292" s="56"/>
      <c r="K292" s="55"/>
      <c r="L292" s="55"/>
      <c r="M292" s="55"/>
      <c r="N292" s="207">
        <f>28+170+30+35+60+8+69-35</f>
        <v>365</v>
      </c>
      <c r="O292" s="207">
        <f>28+170+30+35+60+8+69-35</f>
        <v>365</v>
      </c>
      <c r="P292" s="261">
        <f t="shared" si="76"/>
        <v>100</v>
      </c>
    </row>
    <row r="293" spans="1:16" ht="13.5" customHeight="1">
      <c r="A293" s="120" t="s">
        <v>101</v>
      </c>
      <c r="B293" s="12" t="s">
        <v>165</v>
      </c>
      <c r="C293" s="11" t="s">
        <v>258</v>
      </c>
      <c r="D293" s="11" t="s">
        <v>274</v>
      </c>
      <c r="E293" s="37" t="s">
        <v>102</v>
      </c>
      <c r="F293" s="37"/>
      <c r="G293" s="34"/>
      <c r="H293" s="55"/>
      <c r="I293" s="55"/>
      <c r="J293" s="56"/>
      <c r="K293" s="55"/>
      <c r="L293" s="55"/>
      <c r="M293" s="55">
        <f aca="true" t="shared" si="81" ref="M293:O295">M294</f>
        <v>0</v>
      </c>
      <c r="N293" s="207">
        <f>N294+N297</f>
        <v>90</v>
      </c>
      <c r="O293" s="207">
        <f>O294+O297</f>
        <v>90</v>
      </c>
      <c r="P293" s="261">
        <f t="shared" si="76"/>
        <v>100</v>
      </c>
    </row>
    <row r="294" spans="1:16" ht="44.25" customHeight="1">
      <c r="A294" s="145" t="s">
        <v>387</v>
      </c>
      <c r="B294" s="12" t="s">
        <v>165</v>
      </c>
      <c r="C294" s="11" t="s">
        <v>258</v>
      </c>
      <c r="D294" s="11" t="s">
        <v>274</v>
      </c>
      <c r="E294" s="37" t="s">
        <v>386</v>
      </c>
      <c r="F294" s="37"/>
      <c r="G294" s="34"/>
      <c r="H294" s="55"/>
      <c r="I294" s="55"/>
      <c r="J294" s="56"/>
      <c r="K294" s="55"/>
      <c r="L294" s="55"/>
      <c r="M294" s="55">
        <f t="shared" si="81"/>
        <v>0</v>
      </c>
      <c r="N294" s="207">
        <f t="shared" si="81"/>
        <v>80</v>
      </c>
      <c r="O294" s="207">
        <f t="shared" si="81"/>
        <v>80</v>
      </c>
      <c r="P294" s="261">
        <f t="shared" si="76"/>
        <v>100</v>
      </c>
    </row>
    <row r="295" spans="1:16" ht="13.5" customHeight="1">
      <c r="A295" s="105" t="s">
        <v>195</v>
      </c>
      <c r="B295" s="12" t="s">
        <v>165</v>
      </c>
      <c r="C295" s="11" t="s">
        <v>258</v>
      </c>
      <c r="D295" s="11" t="s">
        <v>274</v>
      </c>
      <c r="E295" s="37" t="s">
        <v>386</v>
      </c>
      <c r="F295" s="37" t="s">
        <v>376</v>
      </c>
      <c r="G295" s="34"/>
      <c r="H295" s="55"/>
      <c r="I295" s="55"/>
      <c r="J295" s="56"/>
      <c r="K295" s="55"/>
      <c r="L295" s="55"/>
      <c r="M295" s="55">
        <f t="shared" si="81"/>
        <v>0</v>
      </c>
      <c r="N295" s="207">
        <f t="shared" si="81"/>
        <v>80</v>
      </c>
      <c r="O295" s="207">
        <f t="shared" si="81"/>
        <v>80</v>
      </c>
      <c r="P295" s="261">
        <f t="shared" si="76"/>
        <v>100</v>
      </c>
    </row>
    <row r="296" spans="1:16" ht="13.5" customHeight="1">
      <c r="A296" s="6" t="s">
        <v>211</v>
      </c>
      <c r="B296" s="12" t="s">
        <v>165</v>
      </c>
      <c r="C296" s="11" t="s">
        <v>258</v>
      </c>
      <c r="D296" s="11" t="s">
        <v>274</v>
      </c>
      <c r="E296" s="37" t="s">
        <v>386</v>
      </c>
      <c r="F296" s="37" t="s">
        <v>376</v>
      </c>
      <c r="G296" s="34">
        <v>2</v>
      </c>
      <c r="H296" s="55"/>
      <c r="I296" s="55"/>
      <c r="J296" s="56"/>
      <c r="K296" s="55"/>
      <c r="L296" s="55"/>
      <c r="M296" s="55"/>
      <c r="N296" s="207">
        <v>80</v>
      </c>
      <c r="O296" s="207">
        <v>80</v>
      </c>
      <c r="P296" s="261">
        <f t="shared" si="76"/>
        <v>100</v>
      </c>
    </row>
    <row r="297" spans="1:16" ht="17.25" customHeight="1">
      <c r="A297" s="5" t="s">
        <v>104</v>
      </c>
      <c r="B297" s="12" t="s">
        <v>165</v>
      </c>
      <c r="C297" s="11" t="s">
        <v>258</v>
      </c>
      <c r="D297" s="11" t="s">
        <v>274</v>
      </c>
      <c r="E297" s="12" t="s">
        <v>103</v>
      </c>
      <c r="F297" s="12"/>
      <c r="G297" s="34"/>
      <c r="H297" s="55"/>
      <c r="I297" s="55"/>
      <c r="J297" s="56"/>
      <c r="K297" s="55"/>
      <c r="L297" s="55"/>
      <c r="M297" s="55">
        <f aca="true" t="shared" si="82" ref="M297:O298">M298</f>
        <v>0</v>
      </c>
      <c r="N297" s="207">
        <f t="shared" si="82"/>
        <v>10</v>
      </c>
      <c r="O297" s="207">
        <f t="shared" si="82"/>
        <v>10</v>
      </c>
      <c r="P297" s="261">
        <f t="shared" si="76"/>
        <v>100</v>
      </c>
    </row>
    <row r="298" spans="1:16" ht="15" customHeight="1">
      <c r="A298" s="105" t="s">
        <v>195</v>
      </c>
      <c r="B298" s="12" t="s">
        <v>165</v>
      </c>
      <c r="C298" s="11" t="s">
        <v>258</v>
      </c>
      <c r="D298" s="11" t="s">
        <v>274</v>
      </c>
      <c r="E298" s="12" t="s">
        <v>103</v>
      </c>
      <c r="F298" s="37" t="s">
        <v>376</v>
      </c>
      <c r="G298" s="34"/>
      <c r="H298" s="55"/>
      <c r="I298" s="55"/>
      <c r="J298" s="56"/>
      <c r="K298" s="55"/>
      <c r="L298" s="55"/>
      <c r="M298" s="55">
        <f t="shared" si="82"/>
        <v>0</v>
      </c>
      <c r="N298" s="207">
        <f t="shared" si="82"/>
        <v>10</v>
      </c>
      <c r="O298" s="207">
        <f t="shared" si="82"/>
        <v>10</v>
      </c>
      <c r="P298" s="261">
        <f t="shared" si="76"/>
        <v>100</v>
      </c>
    </row>
    <row r="299" spans="1:33" s="68" customFormat="1" ht="15" customHeight="1">
      <c r="A299" s="5" t="s">
        <v>209</v>
      </c>
      <c r="B299" s="12" t="s">
        <v>165</v>
      </c>
      <c r="C299" s="11" t="s">
        <v>258</v>
      </c>
      <c r="D299" s="11" t="s">
        <v>274</v>
      </c>
      <c r="E299" s="12" t="s">
        <v>103</v>
      </c>
      <c r="F299" s="37" t="s">
        <v>376</v>
      </c>
      <c r="G299" s="34">
        <v>3</v>
      </c>
      <c r="H299" s="55"/>
      <c r="I299" s="55"/>
      <c r="J299" s="56"/>
      <c r="K299" s="55"/>
      <c r="L299" s="55"/>
      <c r="M299" s="55"/>
      <c r="N299" s="207">
        <v>10</v>
      </c>
      <c r="O299" s="207">
        <v>10</v>
      </c>
      <c r="P299" s="261">
        <f t="shared" si="76"/>
        <v>100</v>
      </c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</row>
    <row r="300" spans="1:16" ht="39" customHeight="1">
      <c r="A300" s="105" t="s">
        <v>374</v>
      </c>
      <c r="B300" s="12" t="s">
        <v>165</v>
      </c>
      <c r="C300" s="11" t="s">
        <v>258</v>
      </c>
      <c r="D300" s="11" t="s">
        <v>274</v>
      </c>
      <c r="E300" s="12" t="s">
        <v>241</v>
      </c>
      <c r="F300" s="12"/>
      <c r="G300" s="34"/>
      <c r="H300" s="55">
        <f>H302</f>
        <v>288</v>
      </c>
      <c r="I300" s="55">
        <f>I302</f>
        <v>0</v>
      </c>
      <c r="J300" s="56">
        <f aca="true" t="shared" si="83" ref="J300:J330">I300-H300</f>
        <v>-288</v>
      </c>
      <c r="K300" s="55">
        <f>K302</f>
        <v>0</v>
      </c>
      <c r="L300" s="55">
        <f>L302</f>
        <v>384.6</v>
      </c>
      <c r="M300" s="55">
        <f aca="true" t="shared" si="84" ref="M300:O301">M301</f>
        <v>0</v>
      </c>
      <c r="N300" s="207">
        <f t="shared" si="84"/>
        <v>358.89</v>
      </c>
      <c r="O300" s="207">
        <f t="shared" si="84"/>
        <v>358.89</v>
      </c>
      <c r="P300" s="261">
        <f t="shared" si="76"/>
        <v>100</v>
      </c>
    </row>
    <row r="301" spans="1:16" ht="15.75" customHeight="1">
      <c r="A301" s="105" t="s">
        <v>195</v>
      </c>
      <c r="B301" s="12" t="s">
        <v>165</v>
      </c>
      <c r="C301" s="11" t="s">
        <v>258</v>
      </c>
      <c r="D301" s="11" t="s">
        <v>274</v>
      </c>
      <c r="E301" s="12" t="s">
        <v>241</v>
      </c>
      <c r="F301" s="37" t="s">
        <v>376</v>
      </c>
      <c r="G301" s="34"/>
      <c r="H301" s="55">
        <f>H302</f>
        <v>288</v>
      </c>
      <c r="I301" s="55">
        <f>I302</f>
        <v>0</v>
      </c>
      <c r="J301" s="56">
        <f t="shared" si="83"/>
        <v>-288</v>
      </c>
      <c r="K301" s="55">
        <f>K302</f>
        <v>0</v>
      </c>
      <c r="L301" s="55">
        <f>L302</f>
        <v>384.6</v>
      </c>
      <c r="M301" s="55">
        <f t="shared" si="84"/>
        <v>0</v>
      </c>
      <c r="N301" s="207">
        <f t="shared" si="84"/>
        <v>358.89</v>
      </c>
      <c r="O301" s="207">
        <f t="shared" si="84"/>
        <v>358.89</v>
      </c>
      <c r="P301" s="261">
        <f t="shared" si="76"/>
        <v>100</v>
      </c>
    </row>
    <row r="302" spans="1:33" s="23" customFormat="1" ht="15" customHeight="1">
      <c r="A302" s="5" t="s">
        <v>209</v>
      </c>
      <c r="B302" s="12" t="s">
        <v>165</v>
      </c>
      <c r="C302" s="11" t="s">
        <v>258</v>
      </c>
      <c r="D302" s="11" t="s">
        <v>274</v>
      </c>
      <c r="E302" s="12" t="s">
        <v>241</v>
      </c>
      <c r="F302" s="37" t="s">
        <v>376</v>
      </c>
      <c r="G302" s="34">
        <v>3</v>
      </c>
      <c r="H302" s="55">
        <v>288</v>
      </c>
      <c r="I302" s="55"/>
      <c r="J302" s="56">
        <f t="shared" si="83"/>
        <v>-288</v>
      </c>
      <c r="K302" s="55"/>
      <c r="L302" s="55">
        <v>384.6</v>
      </c>
      <c r="M302" s="55"/>
      <c r="N302" s="207">
        <v>358.89</v>
      </c>
      <c r="O302" s="207">
        <v>358.89</v>
      </c>
      <c r="P302" s="261">
        <f t="shared" si="76"/>
        <v>100</v>
      </c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</row>
    <row r="303" spans="1:33" s="23" customFormat="1" ht="15" customHeight="1">
      <c r="A303" s="109" t="s">
        <v>380</v>
      </c>
      <c r="B303" s="12" t="s">
        <v>165</v>
      </c>
      <c r="C303" s="11" t="s">
        <v>258</v>
      </c>
      <c r="D303" s="11" t="s">
        <v>274</v>
      </c>
      <c r="E303" s="37" t="s">
        <v>383</v>
      </c>
      <c r="F303" s="37"/>
      <c r="G303" s="34"/>
      <c r="H303" s="55"/>
      <c r="I303" s="55"/>
      <c r="J303" s="56"/>
      <c r="K303" s="55"/>
      <c r="L303" s="55"/>
      <c r="M303" s="55">
        <f aca="true" t="shared" si="85" ref="M303:O305">M304</f>
        <v>0</v>
      </c>
      <c r="N303" s="207">
        <f t="shared" si="85"/>
        <v>45</v>
      </c>
      <c r="O303" s="207">
        <f t="shared" si="85"/>
        <v>45</v>
      </c>
      <c r="P303" s="261">
        <f t="shared" si="76"/>
        <v>100</v>
      </c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</row>
    <row r="304" spans="1:33" s="23" customFormat="1" ht="78.75" customHeight="1">
      <c r="A304" s="109" t="s">
        <v>381</v>
      </c>
      <c r="B304" s="12" t="s">
        <v>165</v>
      </c>
      <c r="C304" s="11" t="s">
        <v>258</v>
      </c>
      <c r="D304" s="11" t="s">
        <v>274</v>
      </c>
      <c r="E304" s="37" t="s">
        <v>382</v>
      </c>
      <c r="F304" s="37"/>
      <c r="G304" s="34"/>
      <c r="H304" s="55"/>
      <c r="I304" s="55"/>
      <c r="J304" s="56"/>
      <c r="K304" s="55"/>
      <c r="L304" s="55"/>
      <c r="M304" s="55">
        <f t="shared" si="85"/>
        <v>0</v>
      </c>
      <c r="N304" s="207">
        <f t="shared" si="85"/>
        <v>45</v>
      </c>
      <c r="O304" s="207">
        <f t="shared" si="85"/>
        <v>45</v>
      </c>
      <c r="P304" s="261">
        <f t="shared" si="76"/>
        <v>100</v>
      </c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</row>
    <row r="305" spans="1:33" s="23" customFormat="1" ht="15" customHeight="1">
      <c r="A305" s="105" t="s">
        <v>195</v>
      </c>
      <c r="B305" s="12" t="s">
        <v>165</v>
      </c>
      <c r="C305" s="11" t="s">
        <v>258</v>
      </c>
      <c r="D305" s="11" t="s">
        <v>274</v>
      </c>
      <c r="E305" s="37" t="s">
        <v>382</v>
      </c>
      <c r="F305" s="37" t="s">
        <v>376</v>
      </c>
      <c r="G305" s="34"/>
      <c r="H305" s="55"/>
      <c r="I305" s="55"/>
      <c r="J305" s="56"/>
      <c r="K305" s="55"/>
      <c r="L305" s="55"/>
      <c r="M305" s="55">
        <f t="shared" si="85"/>
        <v>0</v>
      </c>
      <c r="N305" s="207">
        <f t="shared" si="85"/>
        <v>45</v>
      </c>
      <c r="O305" s="207">
        <f t="shared" si="85"/>
        <v>45</v>
      </c>
      <c r="P305" s="261">
        <f t="shared" si="76"/>
        <v>100</v>
      </c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</row>
    <row r="306" spans="1:33" s="23" customFormat="1" ht="15" customHeight="1">
      <c r="A306" s="5" t="s">
        <v>209</v>
      </c>
      <c r="B306" s="12" t="s">
        <v>165</v>
      </c>
      <c r="C306" s="11" t="s">
        <v>258</v>
      </c>
      <c r="D306" s="11" t="s">
        <v>274</v>
      </c>
      <c r="E306" s="37" t="s">
        <v>382</v>
      </c>
      <c r="F306" s="37" t="s">
        <v>376</v>
      </c>
      <c r="G306" s="34">
        <v>3</v>
      </c>
      <c r="H306" s="55"/>
      <c r="I306" s="55"/>
      <c r="J306" s="56"/>
      <c r="K306" s="55"/>
      <c r="L306" s="55"/>
      <c r="M306" s="55"/>
      <c r="N306" s="207">
        <v>45</v>
      </c>
      <c r="O306" s="207">
        <v>45</v>
      </c>
      <c r="P306" s="261">
        <f t="shared" si="76"/>
        <v>100</v>
      </c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</row>
    <row r="307" spans="1:33" s="25" customFormat="1" ht="32.25" customHeight="1">
      <c r="A307" s="2" t="s">
        <v>249</v>
      </c>
      <c r="B307" s="10" t="s">
        <v>166</v>
      </c>
      <c r="C307" s="10">
        <v>0</v>
      </c>
      <c r="D307" s="10">
        <v>0</v>
      </c>
      <c r="E307" s="10">
        <v>0</v>
      </c>
      <c r="F307" s="12">
        <v>0</v>
      </c>
      <c r="G307" s="7"/>
      <c r="H307" s="56" t="e">
        <f>H308+H435</f>
        <v>#REF!</v>
      </c>
      <c r="I307" s="56" t="e">
        <f>I308+I435</f>
        <v>#REF!</v>
      </c>
      <c r="J307" s="56" t="e">
        <f t="shared" si="83"/>
        <v>#REF!</v>
      </c>
      <c r="K307" s="56" t="e">
        <f>K308+K435</f>
        <v>#REF!</v>
      </c>
      <c r="L307" s="56" t="e">
        <f>L308+L435</f>
        <v>#REF!</v>
      </c>
      <c r="M307" s="56" t="e">
        <f>M308+M435</f>
        <v>#REF!</v>
      </c>
      <c r="N307" s="208">
        <f>N308+N435</f>
        <v>154275.96134</v>
      </c>
      <c r="O307" s="208">
        <f>O308+O435</f>
        <v>154272.94345000002</v>
      </c>
      <c r="P307" s="261">
        <f t="shared" si="76"/>
        <v>99.99804383652918</v>
      </c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</row>
    <row r="308" spans="1:16" ht="14.25">
      <c r="A308" s="3" t="s">
        <v>47</v>
      </c>
      <c r="B308" s="10" t="s">
        <v>166</v>
      </c>
      <c r="C308" s="10" t="s">
        <v>145</v>
      </c>
      <c r="D308" s="10">
        <v>0</v>
      </c>
      <c r="E308" s="10">
        <v>0</v>
      </c>
      <c r="F308" s="10">
        <v>0</v>
      </c>
      <c r="G308" s="7"/>
      <c r="H308" s="56" t="e">
        <f>H309+H375+H386+H330</f>
        <v>#REF!</v>
      </c>
      <c r="I308" s="56" t="e">
        <f>I309+I375+I386+I330</f>
        <v>#REF!</v>
      </c>
      <c r="J308" s="56" t="e">
        <f t="shared" si="83"/>
        <v>#REF!</v>
      </c>
      <c r="K308" s="56" t="e">
        <f>K309+K375+K386+K330</f>
        <v>#REF!</v>
      </c>
      <c r="L308" s="56" t="e">
        <f>L309+L375+L386+L330</f>
        <v>#REF!</v>
      </c>
      <c r="M308" s="56" t="e">
        <f>M309+M375+M386+M330</f>
        <v>#REF!</v>
      </c>
      <c r="N308" s="208">
        <f>N309+N375+N386+N330</f>
        <v>152162.48413</v>
      </c>
      <c r="O308" s="208">
        <f>O309+O375+O386+O330</f>
        <v>152159.47861000002</v>
      </c>
      <c r="P308" s="261">
        <f t="shared" si="76"/>
        <v>99.99802479565369</v>
      </c>
    </row>
    <row r="309" spans="1:16" ht="14.25">
      <c r="A309" s="4" t="s">
        <v>112</v>
      </c>
      <c r="B309" s="11" t="s">
        <v>166</v>
      </c>
      <c r="C309" s="11" t="s">
        <v>145</v>
      </c>
      <c r="D309" s="11" t="s">
        <v>177</v>
      </c>
      <c r="E309" s="11">
        <v>0</v>
      </c>
      <c r="F309" s="11"/>
      <c r="G309" s="34"/>
      <c r="H309" s="55">
        <f>H310+H323+H316</f>
        <v>5956.3</v>
      </c>
      <c r="I309" s="55">
        <f>I310+I323+I316</f>
        <v>8147.5</v>
      </c>
      <c r="J309" s="56">
        <f t="shared" si="83"/>
        <v>2191.2</v>
      </c>
      <c r="K309" s="55">
        <f>K310+K323+K316</f>
        <v>6647.5</v>
      </c>
      <c r="L309" s="55">
        <f>L310+L323+L316</f>
        <v>6647.5</v>
      </c>
      <c r="M309" s="55">
        <f>M310+M323+M316</f>
        <v>8026.700000000001</v>
      </c>
      <c r="N309" s="207">
        <f>N310+N323+N316+N320+N326</f>
        <v>8801.631</v>
      </c>
      <c r="O309" s="207">
        <f>O310+O323+O316+O320+O326</f>
        <v>8801.631</v>
      </c>
      <c r="P309" s="261">
        <f t="shared" si="76"/>
        <v>100</v>
      </c>
    </row>
    <row r="310" spans="1:16" ht="14.25">
      <c r="A310" s="5" t="s">
        <v>115</v>
      </c>
      <c r="B310" s="12" t="s">
        <v>166</v>
      </c>
      <c r="C310" s="11" t="s">
        <v>145</v>
      </c>
      <c r="D310" s="11" t="s">
        <v>177</v>
      </c>
      <c r="E310" s="12" t="s">
        <v>113</v>
      </c>
      <c r="F310" s="12"/>
      <c r="G310" s="34"/>
      <c r="H310" s="55">
        <f aca="true" t="shared" si="86" ref="H310:I312">H311</f>
        <v>5776.3</v>
      </c>
      <c r="I310" s="55">
        <f t="shared" si="86"/>
        <v>8147.5</v>
      </c>
      <c r="J310" s="56">
        <f t="shared" si="83"/>
        <v>2371.2</v>
      </c>
      <c r="K310" s="55">
        <f aca="true" t="shared" si="87" ref="K310:L312">K311</f>
        <v>6647.5</v>
      </c>
      <c r="L310" s="55">
        <f t="shared" si="87"/>
        <v>6647.5</v>
      </c>
      <c r="M310" s="55">
        <f>M311</f>
        <v>8026.700000000001</v>
      </c>
      <c r="N310" s="207">
        <f>N311</f>
        <v>8339.831</v>
      </c>
      <c r="O310" s="207">
        <f>O311</f>
        <v>8339.831</v>
      </c>
      <c r="P310" s="261">
        <f t="shared" si="76"/>
        <v>100</v>
      </c>
    </row>
    <row r="311" spans="1:16" ht="25.5">
      <c r="A311" s="105" t="s">
        <v>343</v>
      </c>
      <c r="B311" s="12" t="s">
        <v>166</v>
      </c>
      <c r="C311" s="11" t="s">
        <v>145</v>
      </c>
      <c r="D311" s="11" t="s">
        <v>177</v>
      </c>
      <c r="E311" s="12" t="s">
        <v>114</v>
      </c>
      <c r="F311" s="12"/>
      <c r="G311" s="34"/>
      <c r="H311" s="55">
        <f t="shared" si="86"/>
        <v>5776.3</v>
      </c>
      <c r="I311" s="55">
        <f t="shared" si="86"/>
        <v>8147.5</v>
      </c>
      <c r="J311" s="56">
        <f t="shared" si="83"/>
        <v>2371.2</v>
      </c>
      <c r="K311" s="55">
        <f t="shared" si="87"/>
        <v>6647.5</v>
      </c>
      <c r="L311" s="55">
        <f t="shared" si="87"/>
        <v>6647.5</v>
      </c>
      <c r="M311" s="55">
        <f>M312+M314</f>
        <v>8026.700000000001</v>
      </c>
      <c r="N311" s="207">
        <f>N312+N314</f>
        <v>8339.831</v>
      </c>
      <c r="O311" s="207">
        <f>O312+O314</f>
        <v>8339.831</v>
      </c>
      <c r="P311" s="261">
        <f t="shared" si="76"/>
        <v>100</v>
      </c>
    </row>
    <row r="312" spans="1:16" ht="56.25" customHeight="1">
      <c r="A312" s="6" t="s">
        <v>319</v>
      </c>
      <c r="B312" s="13" t="s">
        <v>166</v>
      </c>
      <c r="C312" s="11" t="s">
        <v>145</v>
      </c>
      <c r="D312" s="11" t="s">
        <v>177</v>
      </c>
      <c r="E312" s="12" t="s">
        <v>114</v>
      </c>
      <c r="F312" s="13" t="s">
        <v>315</v>
      </c>
      <c r="G312" s="34"/>
      <c r="H312" s="55">
        <f t="shared" si="86"/>
        <v>5776.3</v>
      </c>
      <c r="I312" s="55">
        <f t="shared" si="86"/>
        <v>8147.5</v>
      </c>
      <c r="J312" s="56">
        <f t="shared" si="83"/>
        <v>2371.2</v>
      </c>
      <c r="K312" s="55">
        <f t="shared" si="87"/>
        <v>6647.5</v>
      </c>
      <c r="L312" s="55">
        <f t="shared" si="87"/>
        <v>6647.5</v>
      </c>
      <c r="M312" s="55">
        <f>M313</f>
        <v>7671.700000000001</v>
      </c>
      <c r="N312" s="207">
        <f>N313</f>
        <v>8319.831</v>
      </c>
      <c r="O312" s="207">
        <f>O313</f>
        <v>8319.831</v>
      </c>
      <c r="P312" s="261">
        <f t="shared" si="76"/>
        <v>100</v>
      </c>
    </row>
    <row r="313" spans="1:33" s="23" customFormat="1" ht="15" customHeight="1">
      <c r="A313" s="105" t="s">
        <v>317</v>
      </c>
      <c r="B313" s="13" t="s">
        <v>166</v>
      </c>
      <c r="C313" s="11" t="s">
        <v>145</v>
      </c>
      <c r="D313" s="11" t="s">
        <v>177</v>
      </c>
      <c r="E313" s="12" t="s">
        <v>114</v>
      </c>
      <c r="F313" s="13" t="s">
        <v>315</v>
      </c>
      <c r="G313" s="34">
        <v>3</v>
      </c>
      <c r="H313" s="55">
        <v>5776.3</v>
      </c>
      <c r="I313" s="55">
        <f>6947.5+1200</f>
        <v>8147.5</v>
      </c>
      <c r="J313" s="56">
        <f t="shared" si="83"/>
        <v>2371.2</v>
      </c>
      <c r="K313" s="55">
        <f>6947.5+1200-1450-50</f>
        <v>6647.5</v>
      </c>
      <c r="L313" s="55">
        <f>6947.5+1200-1450-50</f>
        <v>6647.5</v>
      </c>
      <c r="M313" s="103">
        <f>8892.2+146.5+1000-1237-1000-130</f>
        <v>7671.700000000001</v>
      </c>
      <c r="N313" s="207">
        <f>8600.4+456-400-336.569</f>
        <v>8319.831</v>
      </c>
      <c r="O313" s="207">
        <f>8600.4+456-400-336.569</f>
        <v>8319.831</v>
      </c>
      <c r="P313" s="261">
        <f t="shared" si="76"/>
        <v>100</v>
      </c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</row>
    <row r="314" spans="1:33" s="23" customFormat="1" ht="26.25" customHeight="1">
      <c r="A314" s="6" t="s">
        <v>318</v>
      </c>
      <c r="B314" s="13" t="s">
        <v>166</v>
      </c>
      <c r="C314" s="11" t="s">
        <v>145</v>
      </c>
      <c r="D314" s="11" t="s">
        <v>177</v>
      </c>
      <c r="E314" s="12" t="s">
        <v>114</v>
      </c>
      <c r="F314" s="13" t="s">
        <v>316</v>
      </c>
      <c r="G314" s="34"/>
      <c r="H314" s="55"/>
      <c r="I314" s="55"/>
      <c r="J314" s="56"/>
      <c r="K314" s="55"/>
      <c r="L314" s="55"/>
      <c r="M314" s="55">
        <f>M315</f>
        <v>355</v>
      </c>
      <c r="N314" s="207">
        <f>N315</f>
        <v>20</v>
      </c>
      <c r="O314" s="207">
        <f>O315</f>
        <v>20</v>
      </c>
      <c r="P314" s="261">
        <f t="shared" si="76"/>
        <v>100</v>
      </c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</row>
    <row r="315" spans="1:33" s="23" customFormat="1" ht="14.25" customHeight="1">
      <c r="A315" s="105" t="s">
        <v>317</v>
      </c>
      <c r="B315" s="13" t="s">
        <v>166</v>
      </c>
      <c r="C315" s="11" t="s">
        <v>145</v>
      </c>
      <c r="D315" s="11" t="s">
        <v>177</v>
      </c>
      <c r="E315" s="12" t="s">
        <v>114</v>
      </c>
      <c r="F315" s="13" t="s">
        <v>316</v>
      </c>
      <c r="G315" s="34">
        <v>3</v>
      </c>
      <c r="H315" s="55"/>
      <c r="I315" s="55"/>
      <c r="J315" s="56"/>
      <c r="K315" s="55"/>
      <c r="L315" s="55"/>
      <c r="M315" s="103">
        <f>130+225</f>
        <v>355</v>
      </c>
      <c r="N315" s="207">
        <f>90-70</f>
        <v>20</v>
      </c>
      <c r="O315" s="207">
        <f>90-70</f>
        <v>20</v>
      </c>
      <c r="P315" s="261">
        <f t="shared" si="76"/>
        <v>100</v>
      </c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</row>
    <row r="316" spans="1:16" ht="19.5" customHeight="1">
      <c r="A316" s="120" t="s">
        <v>101</v>
      </c>
      <c r="B316" s="13" t="s">
        <v>166</v>
      </c>
      <c r="C316" s="11" t="s">
        <v>145</v>
      </c>
      <c r="D316" s="11" t="s">
        <v>177</v>
      </c>
      <c r="E316" s="37" t="s">
        <v>102</v>
      </c>
      <c r="F316" s="13"/>
      <c r="G316" s="34"/>
      <c r="H316" s="55">
        <f>H318</f>
        <v>180</v>
      </c>
      <c r="I316" s="55">
        <f>I318</f>
        <v>0</v>
      </c>
      <c r="J316" s="56">
        <f t="shared" si="83"/>
        <v>-180</v>
      </c>
      <c r="K316" s="55">
        <f>K318</f>
        <v>0</v>
      </c>
      <c r="L316" s="55">
        <f>L318</f>
        <v>0</v>
      </c>
      <c r="M316" s="55">
        <f>M318</f>
        <v>0</v>
      </c>
      <c r="N316" s="207">
        <f aca="true" t="shared" si="88" ref="N316:O318">N317</f>
        <v>40.5</v>
      </c>
      <c r="O316" s="207">
        <f t="shared" si="88"/>
        <v>40.5</v>
      </c>
      <c r="P316" s="261">
        <f t="shared" si="76"/>
        <v>100</v>
      </c>
    </row>
    <row r="317" spans="1:16" ht="42.75" customHeight="1">
      <c r="A317" s="145" t="s">
        <v>387</v>
      </c>
      <c r="B317" s="13" t="s">
        <v>166</v>
      </c>
      <c r="C317" s="11" t="s">
        <v>145</v>
      </c>
      <c r="D317" s="11" t="s">
        <v>177</v>
      </c>
      <c r="E317" s="37" t="s">
        <v>386</v>
      </c>
      <c r="F317" s="13"/>
      <c r="G317" s="34"/>
      <c r="H317" s="55"/>
      <c r="I317" s="55"/>
      <c r="J317" s="56"/>
      <c r="K317" s="55"/>
      <c r="L317" s="55"/>
      <c r="M317" s="55"/>
      <c r="N317" s="207">
        <f t="shared" si="88"/>
        <v>40.5</v>
      </c>
      <c r="O317" s="207">
        <f t="shared" si="88"/>
        <v>40.5</v>
      </c>
      <c r="P317" s="261">
        <f t="shared" si="76"/>
        <v>100</v>
      </c>
    </row>
    <row r="318" spans="1:16" ht="26.25" customHeight="1">
      <c r="A318" s="6" t="s">
        <v>318</v>
      </c>
      <c r="B318" s="13" t="s">
        <v>166</v>
      </c>
      <c r="C318" s="11" t="s">
        <v>145</v>
      </c>
      <c r="D318" s="11" t="s">
        <v>177</v>
      </c>
      <c r="E318" s="37" t="s">
        <v>386</v>
      </c>
      <c r="F318" s="13" t="s">
        <v>316</v>
      </c>
      <c r="G318" s="34"/>
      <c r="H318" s="55">
        <f>H319</f>
        <v>180</v>
      </c>
      <c r="I318" s="55">
        <f>I319</f>
        <v>0</v>
      </c>
      <c r="J318" s="56">
        <f t="shared" si="83"/>
        <v>-180</v>
      </c>
      <c r="K318" s="55">
        <f>K319</f>
        <v>0</v>
      </c>
      <c r="L318" s="55">
        <f>L319</f>
        <v>0</v>
      </c>
      <c r="M318" s="55">
        <f>M319</f>
        <v>0</v>
      </c>
      <c r="N318" s="207">
        <f t="shared" si="88"/>
        <v>40.5</v>
      </c>
      <c r="O318" s="207">
        <f t="shared" si="88"/>
        <v>40.5</v>
      </c>
      <c r="P318" s="261">
        <f t="shared" si="76"/>
        <v>100</v>
      </c>
    </row>
    <row r="319" spans="1:33" s="68" customFormat="1" ht="17.25" customHeight="1">
      <c r="A319" s="6" t="s">
        <v>211</v>
      </c>
      <c r="B319" s="13" t="s">
        <v>166</v>
      </c>
      <c r="C319" s="11" t="s">
        <v>145</v>
      </c>
      <c r="D319" s="11" t="s">
        <v>177</v>
      </c>
      <c r="E319" s="37" t="s">
        <v>386</v>
      </c>
      <c r="F319" s="13" t="s">
        <v>316</v>
      </c>
      <c r="G319" s="34">
        <v>2</v>
      </c>
      <c r="H319" s="55">
        <v>180</v>
      </c>
      <c r="I319" s="55"/>
      <c r="J319" s="56">
        <f t="shared" si="83"/>
        <v>-180</v>
      </c>
      <c r="K319" s="55"/>
      <c r="L319" s="55"/>
      <c r="M319" s="55"/>
      <c r="N319" s="207">
        <v>40.5</v>
      </c>
      <c r="O319" s="207">
        <v>40.5</v>
      </c>
      <c r="P319" s="261">
        <f t="shared" si="76"/>
        <v>100</v>
      </c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</row>
    <row r="320" spans="1:33" s="68" customFormat="1" ht="26.25" customHeight="1">
      <c r="A320" s="105" t="s">
        <v>377</v>
      </c>
      <c r="B320" s="13" t="s">
        <v>166</v>
      </c>
      <c r="C320" s="11" t="s">
        <v>145</v>
      </c>
      <c r="D320" s="11" t="s">
        <v>177</v>
      </c>
      <c r="E320" s="12" t="s">
        <v>161</v>
      </c>
      <c r="F320" s="37"/>
      <c r="G320" s="34"/>
      <c r="H320" s="55"/>
      <c r="I320" s="55"/>
      <c r="J320" s="56"/>
      <c r="K320" s="55"/>
      <c r="L320" s="55"/>
      <c r="M320" s="55"/>
      <c r="N320" s="207">
        <f>N321</f>
        <v>120</v>
      </c>
      <c r="O320" s="207">
        <f>O321</f>
        <v>120</v>
      </c>
      <c r="P320" s="261">
        <f t="shared" si="76"/>
        <v>100</v>
      </c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</row>
    <row r="321" spans="1:33" s="68" customFormat="1" ht="26.25" customHeight="1">
      <c r="A321" s="6" t="s">
        <v>318</v>
      </c>
      <c r="B321" s="13" t="s">
        <v>166</v>
      </c>
      <c r="C321" s="11" t="s">
        <v>145</v>
      </c>
      <c r="D321" s="11" t="s">
        <v>177</v>
      </c>
      <c r="E321" s="12" t="s">
        <v>161</v>
      </c>
      <c r="F321" s="37" t="s">
        <v>316</v>
      </c>
      <c r="G321" s="34"/>
      <c r="H321" s="55"/>
      <c r="I321" s="55"/>
      <c r="J321" s="56"/>
      <c r="K321" s="55"/>
      <c r="L321" s="55"/>
      <c r="M321" s="55"/>
      <c r="N321" s="207">
        <f>N322</f>
        <v>120</v>
      </c>
      <c r="O321" s="207">
        <f>O322</f>
        <v>120</v>
      </c>
      <c r="P321" s="261">
        <f t="shared" si="76"/>
        <v>100</v>
      </c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</row>
    <row r="322" spans="1:33" s="68" customFormat="1" ht="16.5" customHeight="1">
      <c r="A322" s="6" t="s">
        <v>211</v>
      </c>
      <c r="B322" s="13" t="s">
        <v>166</v>
      </c>
      <c r="C322" s="11" t="s">
        <v>145</v>
      </c>
      <c r="D322" s="11" t="s">
        <v>177</v>
      </c>
      <c r="E322" s="12" t="s">
        <v>161</v>
      </c>
      <c r="F322" s="37" t="s">
        <v>316</v>
      </c>
      <c r="G322" s="34">
        <v>2</v>
      </c>
      <c r="H322" s="55"/>
      <c r="I322" s="55"/>
      <c r="J322" s="56"/>
      <c r="K322" s="55"/>
      <c r="L322" s="55"/>
      <c r="M322" s="55"/>
      <c r="N322" s="207">
        <f>100+20</f>
        <v>120</v>
      </c>
      <c r="O322" s="207">
        <f>100+20</f>
        <v>120</v>
      </c>
      <c r="P322" s="261">
        <f t="shared" si="76"/>
        <v>100</v>
      </c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</row>
    <row r="323" spans="1:16" ht="42.75" customHeight="1">
      <c r="A323" s="5" t="s">
        <v>162</v>
      </c>
      <c r="B323" s="13" t="s">
        <v>166</v>
      </c>
      <c r="C323" s="11" t="s">
        <v>145</v>
      </c>
      <c r="D323" s="11" t="s">
        <v>177</v>
      </c>
      <c r="E323" s="12" t="s">
        <v>241</v>
      </c>
      <c r="F323" s="13"/>
      <c r="G323" s="34"/>
      <c r="H323" s="55">
        <f>H324</f>
        <v>0</v>
      </c>
      <c r="I323" s="55">
        <f>I324</f>
        <v>0</v>
      </c>
      <c r="J323" s="56">
        <f t="shared" si="83"/>
        <v>0</v>
      </c>
      <c r="K323" s="55">
        <f>K324</f>
        <v>0</v>
      </c>
      <c r="L323" s="55">
        <f>L324</f>
        <v>0</v>
      </c>
      <c r="M323" s="55">
        <f>M324</f>
        <v>0</v>
      </c>
      <c r="N323" s="207">
        <f>N324</f>
        <v>0</v>
      </c>
      <c r="O323" s="207">
        <f>O324</f>
        <v>0</v>
      </c>
      <c r="P323" s="261"/>
    </row>
    <row r="324" spans="1:16" ht="26.25">
      <c r="A324" s="6" t="s">
        <v>318</v>
      </c>
      <c r="B324" s="13" t="s">
        <v>166</v>
      </c>
      <c r="C324" s="11" t="s">
        <v>145</v>
      </c>
      <c r="D324" s="11" t="s">
        <v>177</v>
      </c>
      <c r="E324" s="12" t="s">
        <v>241</v>
      </c>
      <c r="F324" s="13" t="s">
        <v>316</v>
      </c>
      <c r="G324" s="34"/>
      <c r="H324" s="55"/>
      <c r="I324" s="55"/>
      <c r="J324" s="56">
        <f t="shared" si="83"/>
        <v>0</v>
      </c>
      <c r="K324" s="55"/>
      <c r="L324" s="55"/>
      <c r="M324" s="55">
        <f>M325</f>
        <v>0</v>
      </c>
      <c r="N324" s="207">
        <f>N325</f>
        <v>0</v>
      </c>
      <c r="O324" s="207">
        <f>O325</f>
        <v>0</v>
      </c>
      <c r="P324" s="261"/>
    </row>
    <row r="325" spans="1:16" ht="15">
      <c r="A325" s="105" t="s">
        <v>317</v>
      </c>
      <c r="B325" s="13" t="s">
        <v>166</v>
      </c>
      <c r="C325" s="11" t="s">
        <v>145</v>
      </c>
      <c r="D325" s="11" t="s">
        <v>177</v>
      </c>
      <c r="E325" s="12" t="s">
        <v>241</v>
      </c>
      <c r="F325" s="13" t="s">
        <v>316</v>
      </c>
      <c r="G325" s="34">
        <v>3</v>
      </c>
      <c r="H325" s="55"/>
      <c r="I325" s="55"/>
      <c r="J325" s="56"/>
      <c r="K325" s="55"/>
      <c r="L325" s="55"/>
      <c r="M325" s="55"/>
      <c r="N325" s="207"/>
      <c r="O325" s="207"/>
      <c r="P325" s="261"/>
    </row>
    <row r="326" spans="1:16" ht="26.25">
      <c r="A326" s="105" t="s">
        <v>5</v>
      </c>
      <c r="B326" s="13" t="s">
        <v>166</v>
      </c>
      <c r="C326" s="11" t="s">
        <v>145</v>
      </c>
      <c r="D326" s="11" t="s">
        <v>177</v>
      </c>
      <c r="E326" s="37" t="s">
        <v>6</v>
      </c>
      <c r="F326" s="13"/>
      <c r="G326" s="34"/>
      <c r="H326" s="55"/>
      <c r="I326" s="55"/>
      <c r="J326" s="56"/>
      <c r="K326" s="55"/>
      <c r="L326" s="55"/>
      <c r="M326" s="55"/>
      <c r="N326" s="207">
        <f aca="true" t="shared" si="89" ref="N326:O328">N327</f>
        <v>301.3</v>
      </c>
      <c r="O326" s="207">
        <f t="shared" si="89"/>
        <v>301.3</v>
      </c>
      <c r="P326" s="261">
        <f t="shared" si="76"/>
        <v>100</v>
      </c>
    </row>
    <row r="327" spans="1:16" ht="102.75">
      <c r="A327" s="105" t="s">
        <v>447</v>
      </c>
      <c r="B327" s="13" t="s">
        <v>166</v>
      </c>
      <c r="C327" s="11" t="s">
        <v>145</v>
      </c>
      <c r="D327" s="11" t="s">
        <v>177</v>
      </c>
      <c r="E327" s="37" t="s">
        <v>448</v>
      </c>
      <c r="F327" s="13"/>
      <c r="G327" s="34"/>
      <c r="H327" s="55"/>
      <c r="I327" s="55"/>
      <c r="J327" s="56"/>
      <c r="K327" s="55"/>
      <c r="L327" s="55"/>
      <c r="M327" s="55"/>
      <c r="N327" s="207">
        <f t="shared" si="89"/>
        <v>301.3</v>
      </c>
      <c r="O327" s="207">
        <f t="shared" si="89"/>
        <v>301.3</v>
      </c>
      <c r="P327" s="261">
        <f t="shared" si="76"/>
        <v>100</v>
      </c>
    </row>
    <row r="328" spans="1:16" ht="64.5">
      <c r="A328" s="6" t="s">
        <v>319</v>
      </c>
      <c r="B328" s="13" t="s">
        <v>166</v>
      </c>
      <c r="C328" s="11" t="s">
        <v>145</v>
      </c>
      <c r="D328" s="11" t="s">
        <v>177</v>
      </c>
      <c r="E328" s="37" t="s">
        <v>448</v>
      </c>
      <c r="F328" s="13" t="s">
        <v>315</v>
      </c>
      <c r="G328" s="34"/>
      <c r="H328" s="55"/>
      <c r="I328" s="55"/>
      <c r="J328" s="56"/>
      <c r="K328" s="55"/>
      <c r="L328" s="55"/>
      <c r="M328" s="55"/>
      <c r="N328" s="207">
        <f t="shared" si="89"/>
        <v>301.3</v>
      </c>
      <c r="O328" s="207">
        <f t="shared" si="89"/>
        <v>301.3</v>
      </c>
      <c r="P328" s="261">
        <f t="shared" si="76"/>
        <v>100</v>
      </c>
    </row>
    <row r="329" spans="1:16" ht="15">
      <c r="A329" s="6" t="s">
        <v>211</v>
      </c>
      <c r="B329" s="13" t="s">
        <v>166</v>
      </c>
      <c r="C329" s="11" t="s">
        <v>145</v>
      </c>
      <c r="D329" s="11" t="s">
        <v>177</v>
      </c>
      <c r="E329" s="37" t="s">
        <v>448</v>
      </c>
      <c r="F329" s="13" t="s">
        <v>315</v>
      </c>
      <c r="G329" s="34">
        <v>2</v>
      </c>
      <c r="H329" s="55"/>
      <c r="I329" s="55"/>
      <c r="J329" s="56"/>
      <c r="K329" s="55"/>
      <c r="L329" s="55"/>
      <c r="M329" s="55"/>
      <c r="N329" s="207">
        <f>200.9+100.4</f>
        <v>301.3</v>
      </c>
      <c r="O329" s="207">
        <f>200.9+100.4</f>
        <v>301.3</v>
      </c>
      <c r="P329" s="261">
        <f t="shared" si="76"/>
        <v>100</v>
      </c>
    </row>
    <row r="330" spans="1:16" ht="15">
      <c r="A330" s="4" t="s">
        <v>3</v>
      </c>
      <c r="B330" s="11" t="s">
        <v>166</v>
      </c>
      <c r="C330" s="11" t="s">
        <v>145</v>
      </c>
      <c r="D330" s="11" t="s">
        <v>178</v>
      </c>
      <c r="E330" s="11">
        <v>0</v>
      </c>
      <c r="F330" s="11"/>
      <c r="G330" s="8"/>
      <c r="H330" s="55" t="e">
        <f>#REF!+H331+H337+H348+H353+#REF!+#REF!+#REF!+#REF!+#REF!+H359+H372</f>
        <v>#REF!</v>
      </c>
      <c r="I330" s="55" t="e">
        <f>I331+I337+I348+#REF!+#REF!+#REF!+#REF!+I353+#REF!+I372+I359+#REF!</f>
        <v>#REF!</v>
      </c>
      <c r="J330" s="56" t="e">
        <f t="shared" si="83"/>
        <v>#REF!</v>
      </c>
      <c r="K330" s="55" t="e">
        <f>K331+K337+K348+#REF!+#REF!+#REF!+#REF!+K353+#REF!+K372+K359+#REF!</f>
        <v>#REF!</v>
      </c>
      <c r="L330" s="55" t="e">
        <f>L331+L337+L348+#REF!+#REF!+#REF!+#REF!+L353+#REF!+L372+L359+#REF!</f>
        <v>#REF!</v>
      </c>
      <c r="M330" s="55" t="e">
        <f>M331+M337+M348+#REF!+#REF!+#REF!+#REF!+M353+#REF!+M372+M359+#REF!+M356+M369</f>
        <v>#REF!</v>
      </c>
      <c r="N330" s="207">
        <f>N331+N337+N348+N353+N372+N359+N356+N369+N362+N343</f>
        <v>127963.22013</v>
      </c>
      <c r="O330" s="207">
        <f>O331+O337+O348+O353+O372+O359+O356+O369+O362+O343</f>
        <v>127962.84553000002</v>
      </c>
      <c r="P330" s="261">
        <f t="shared" si="76"/>
        <v>99.9997072596332</v>
      </c>
    </row>
    <row r="331" spans="1:16" ht="26.25">
      <c r="A331" s="5" t="s">
        <v>59</v>
      </c>
      <c r="B331" s="12" t="s">
        <v>166</v>
      </c>
      <c r="C331" s="11" t="s">
        <v>145</v>
      </c>
      <c r="D331" s="11" t="s">
        <v>178</v>
      </c>
      <c r="E331" s="12" t="s">
        <v>58</v>
      </c>
      <c r="F331" s="12"/>
      <c r="G331" s="34"/>
      <c r="H331" s="55" t="e">
        <f>H332</f>
        <v>#REF!</v>
      </c>
      <c r="I331" s="55" t="e">
        <f>I332</f>
        <v>#REF!</v>
      </c>
      <c r="J331" s="56" t="e">
        <f aca="true" t="shared" si="90" ref="J331:J355">I331-H331</f>
        <v>#REF!</v>
      </c>
      <c r="K331" s="55" t="e">
        <f>K332</f>
        <v>#REF!</v>
      </c>
      <c r="L331" s="55" t="e">
        <f>L332</f>
        <v>#REF!</v>
      </c>
      <c r="M331" s="55" t="e">
        <f>M332</f>
        <v>#REF!</v>
      </c>
      <c r="N331" s="207">
        <f>N332</f>
        <v>16134.699999999999</v>
      </c>
      <c r="O331" s="207">
        <f>O332</f>
        <v>16134.325799999999</v>
      </c>
      <c r="P331" s="261">
        <f t="shared" si="76"/>
        <v>99.99768077497568</v>
      </c>
    </row>
    <row r="332" spans="1:16" ht="26.25">
      <c r="A332" s="105" t="s">
        <v>343</v>
      </c>
      <c r="B332" s="12" t="s">
        <v>166</v>
      </c>
      <c r="C332" s="11" t="s">
        <v>145</v>
      </c>
      <c r="D332" s="11" t="s">
        <v>178</v>
      </c>
      <c r="E332" s="12" t="s">
        <v>41</v>
      </c>
      <c r="F332" s="12"/>
      <c r="G332" s="34"/>
      <c r="H332" s="55" t="e">
        <f>H333</f>
        <v>#REF!</v>
      </c>
      <c r="I332" s="55" t="e">
        <f>I333</f>
        <v>#REF!</v>
      </c>
      <c r="J332" s="56" t="e">
        <f t="shared" si="90"/>
        <v>#REF!</v>
      </c>
      <c r="K332" s="55" t="e">
        <f>K333</f>
        <v>#REF!</v>
      </c>
      <c r="L332" s="55" t="e">
        <f>L333</f>
        <v>#REF!</v>
      </c>
      <c r="M332" s="55" t="e">
        <f>M333+M335</f>
        <v>#REF!</v>
      </c>
      <c r="N332" s="207">
        <f>N333+N335</f>
        <v>16134.699999999999</v>
      </c>
      <c r="O332" s="207">
        <f>O333+O335</f>
        <v>16134.325799999999</v>
      </c>
      <c r="P332" s="261">
        <f aca="true" t="shared" si="91" ref="P332:P395">O332/N332*100</f>
        <v>99.99768077497568</v>
      </c>
    </row>
    <row r="333" spans="1:16" ht="52.5" customHeight="1">
      <c r="A333" s="6" t="s">
        <v>319</v>
      </c>
      <c r="B333" s="11" t="s">
        <v>166</v>
      </c>
      <c r="C333" s="11" t="s">
        <v>145</v>
      </c>
      <c r="D333" s="11" t="s">
        <v>178</v>
      </c>
      <c r="E333" s="80" t="s">
        <v>41</v>
      </c>
      <c r="F333" s="13" t="s">
        <v>315</v>
      </c>
      <c r="G333" s="34"/>
      <c r="H333" s="55" t="e">
        <f>#REF!+H334</f>
        <v>#REF!</v>
      </c>
      <c r="I333" s="55" t="e">
        <f>#REF!+I334</f>
        <v>#REF!</v>
      </c>
      <c r="J333" s="56" t="e">
        <f t="shared" si="90"/>
        <v>#REF!</v>
      </c>
      <c r="K333" s="55" t="e">
        <f>#REF!+K334</f>
        <v>#REF!</v>
      </c>
      <c r="L333" s="55" t="e">
        <f>#REF!+L334</f>
        <v>#REF!</v>
      </c>
      <c r="M333" s="55" t="e">
        <f>#REF!+M334</f>
        <v>#REF!</v>
      </c>
      <c r="N333" s="207">
        <f>N334</f>
        <v>15377.3</v>
      </c>
      <c r="O333" s="207">
        <f>O334</f>
        <v>15377.3</v>
      </c>
      <c r="P333" s="261">
        <f t="shared" si="91"/>
        <v>100</v>
      </c>
    </row>
    <row r="334" spans="1:33" s="23" customFormat="1" ht="15">
      <c r="A334" s="105" t="s">
        <v>317</v>
      </c>
      <c r="B334" s="11" t="s">
        <v>166</v>
      </c>
      <c r="C334" s="11" t="s">
        <v>145</v>
      </c>
      <c r="D334" s="11" t="s">
        <v>178</v>
      </c>
      <c r="E334" s="80" t="s">
        <v>41</v>
      </c>
      <c r="F334" s="13" t="s">
        <v>315</v>
      </c>
      <c r="G334" s="34">
        <v>3</v>
      </c>
      <c r="H334" s="56">
        <v>12164.9</v>
      </c>
      <c r="I334" s="56">
        <f>13665+346</f>
        <v>14011</v>
      </c>
      <c r="J334" s="56">
        <f t="shared" si="90"/>
        <v>1846.1000000000004</v>
      </c>
      <c r="K334" s="56">
        <f>13665+346-346+1450+50</f>
        <v>15165</v>
      </c>
      <c r="L334" s="56">
        <f>13665+346-346+1450+50</f>
        <v>15165</v>
      </c>
      <c r="M334" s="102">
        <f>22983.2-4390-1500-540-400+1237-890.4-110-1237-1263-290</f>
        <v>13599.8</v>
      </c>
      <c r="N334" s="208">
        <f>15993-361-84-800+52.4+71+505.9</f>
        <v>15377.3</v>
      </c>
      <c r="O334" s="208">
        <f>15993-361-84-800+52.4+71+505.9</f>
        <v>15377.3</v>
      </c>
      <c r="P334" s="261">
        <f t="shared" si="91"/>
        <v>100</v>
      </c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</row>
    <row r="335" spans="1:33" s="23" customFormat="1" ht="26.25">
      <c r="A335" s="6" t="s">
        <v>318</v>
      </c>
      <c r="B335" s="13" t="s">
        <v>166</v>
      </c>
      <c r="C335" s="11" t="s">
        <v>145</v>
      </c>
      <c r="D335" s="11" t="s">
        <v>178</v>
      </c>
      <c r="E335" s="80" t="s">
        <v>41</v>
      </c>
      <c r="F335" s="13" t="s">
        <v>316</v>
      </c>
      <c r="G335" s="34"/>
      <c r="H335" s="56"/>
      <c r="I335" s="56"/>
      <c r="J335" s="56"/>
      <c r="K335" s="56"/>
      <c r="L335" s="56"/>
      <c r="M335" s="56">
        <f>M336</f>
        <v>1000.4</v>
      </c>
      <c r="N335" s="208">
        <f>N336</f>
        <v>757.4000000000001</v>
      </c>
      <c r="O335" s="208">
        <f>O336</f>
        <v>757.0258</v>
      </c>
      <c r="P335" s="261">
        <f t="shared" si="91"/>
        <v>99.95059413783997</v>
      </c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</row>
    <row r="336" spans="1:33" s="23" customFormat="1" ht="15">
      <c r="A336" s="105" t="s">
        <v>317</v>
      </c>
      <c r="B336" s="13" t="s">
        <v>166</v>
      </c>
      <c r="C336" s="11" t="s">
        <v>145</v>
      </c>
      <c r="D336" s="11" t="s">
        <v>178</v>
      </c>
      <c r="E336" s="80" t="s">
        <v>41</v>
      </c>
      <c r="F336" s="13" t="s">
        <v>316</v>
      </c>
      <c r="G336" s="34">
        <v>3</v>
      </c>
      <c r="H336" s="56"/>
      <c r="I336" s="56"/>
      <c r="J336" s="56"/>
      <c r="K336" s="56"/>
      <c r="L336" s="56"/>
      <c r="M336" s="102">
        <f>890.4+110</f>
        <v>1000.4</v>
      </c>
      <c r="N336" s="208">
        <f>1064.4-200-264-200+300+57</f>
        <v>757.4000000000001</v>
      </c>
      <c r="O336" s="208">
        <v>757.0258</v>
      </c>
      <c r="P336" s="261">
        <f t="shared" si="91"/>
        <v>99.95059413783997</v>
      </c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</row>
    <row r="337" spans="1:16" ht="26.25">
      <c r="A337" s="5" t="s">
        <v>4</v>
      </c>
      <c r="B337" s="12" t="s">
        <v>166</v>
      </c>
      <c r="C337" s="11" t="s">
        <v>145</v>
      </c>
      <c r="D337" s="11" t="s">
        <v>178</v>
      </c>
      <c r="E337" s="12" t="s">
        <v>60</v>
      </c>
      <c r="F337" s="12"/>
      <c r="G337" s="34"/>
      <c r="H337" s="55">
        <f aca="true" t="shared" si="92" ref="H337:I339">H338</f>
        <v>5574.2</v>
      </c>
      <c r="I337" s="55">
        <f t="shared" si="92"/>
        <v>5574.2</v>
      </c>
      <c r="J337" s="56">
        <f t="shared" si="90"/>
        <v>0</v>
      </c>
      <c r="K337" s="55">
        <f aca="true" t="shared" si="93" ref="K337:L339">K338</f>
        <v>5574.2</v>
      </c>
      <c r="L337" s="55">
        <f t="shared" si="93"/>
        <v>5574.2</v>
      </c>
      <c r="M337" s="55">
        <f>M338</f>
        <v>6383.7</v>
      </c>
      <c r="N337" s="207">
        <f>N338</f>
        <v>6550.455</v>
      </c>
      <c r="O337" s="207">
        <f>O338</f>
        <v>6550.4546</v>
      </c>
      <c r="P337" s="261">
        <f t="shared" si="91"/>
        <v>99.99999389355396</v>
      </c>
    </row>
    <row r="338" spans="1:16" ht="26.25">
      <c r="A338" s="105" t="s">
        <v>343</v>
      </c>
      <c r="B338" s="12" t="s">
        <v>166</v>
      </c>
      <c r="C338" s="11" t="s">
        <v>145</v>
      </c>
      <c r="D338" s="11" t="s">
        <v>178</v>
      </c>
      <c r="E338" s="12" t="s">
        <v>42</v>
      </c>
      <c r="F338" s="12"/>
      <c r="G338" s="34"/>
      <c r="H338" s="55">
        <f t="shared" si="92"/>
        <v>5574.2</v>
      </c>
      <c r="I338" s="55">
        <f t="shared" si="92"/>
        <v>5574.2</v>
      </c>
      <c r="J338" s="56">
        <f t="shared" si="90"/>
        <v>0</v>
      </c>
      <c r="K338" s="55">
        <f t="shared" si="93"/>
        <v>5574.2</v>
      </c>
      <c r="L338" s="55">
        <f t="shared" si="93"/>
        <v>5574.2</v>
      </c>
      <c r="M338" s="55">
        <f>M339+M341</f>
        <v>6383.7</v>
      </c>
      <c r="N338" s="207">
        <f>N339+N341</f>
        <v>6550.455</v>
      </c>
      <c r="O338" s="207">
        <f>O339+O341</f>
        <v>6550.4546</v>
      </c>
      <c r="P338" s="261">
        <f t="shared" si="91"/>
        <v>99.99999389355396</v>
      </c>
    </row>
    <row r="339" spans="1:16" ht="59.25" customHeight="1">
      <c r="A339" s="6" t="s">
        <v>319</v>
      </c>
      <c r="B339" s="11" t="s">
        <v>166</v>
      </c>
      <c r="C339" s="11" t="s">
        <v>145</v>
      </c>
      <c r="D339" s="11" t="s">
        <v>178</v>
      </c>
      <c r="E339" s="12" t="s">
        <v>42</v>
      </c>
      <c r="F339" s="13" t="s">
        <v>315</v>
      </c>
      <c r="G339" s="34"/>
      <c r="H339" s="55">
        <f t="shared" si="92"/>
        <v>5574.2</v>
      </c>
      <c r="I339" s="55">
        <f t="shared" si="92"/>
        <v>5574.2</v>
      </c>
      <c r="J339" s="56">
        <f t="shared" si="90"/>
        <v>0</v>
      </c>
      <c r="K339" s="55">
        <f t="shared" si="93"/>
        <v>5574.2</v>
      </c>
      <c r="L339" s="55">
        <f t="shared" si="93"/>
        <v>5574.2</v>
      </c>
      <c r="M339" s="55">
        <f>M340</f>
        <v>6333.7</v>
      </c>
      <c r="N339" s="207">
        <f>N340</f>
        <v>6525.455</v>
      </c>
      <c r="O339" s="207">
        <f>O340</f>
        <v>6525.4546</v>
      </c>
      <c r="P339" s="261">
        <f t="shared" si="91"/>
        <v>99.99999387015924</v>
      </c>
    </row>
    <row r="340" spans="1:33" s="23" customFormat="1" ht="15">
      <c r="A340" s="105" t="s">
        <v>317</v>
      </c>
      <c r="B340" s="11" t="s">
        <v>166</v>
      </c>
      <c r="C340" s="11" t="s">
        <v>145</v>
      </c>
      <c r="D340" s="11" t="s">
        <v>178</v>
      </c>
      <c r="E340" s="12" t="s">
        <v>42</v>
      </c>
      <c r="F340" s="13" t="s">
        <v>315</v>
      </c>
      <c r="G340" s="34">
        <v>3</v>
      </c>
      <c r="H340" s="55">
        <v>5574.2</v>
      </c>
      <c r="I340" s="55">
        <f>5473.2+101</f>
        <v>5574.2</v>
      </c>
      <c r="J340" s="56">
        <f t="shared" si="90"/>
        <v>0</v>
      </c>
      <c r="K340" s="55">
        <f>5473.2+101</f>
        <v>5574.2</v>
      </c>
      <c r="L340" s="55">
        <f>5473.2+101</f>
        <v>5574.2</v>
      </c>
      <c r="M340" s="103">
        <f>6981.7-158-400-40-50</f>
        <v>6333.7</v>
      </c>
      <c r="N340" s="207">
        <f>7312.4-786.945</f>
        <v>6525.455</v>
      </c>
      <c r="O340" s="207">
        <v>6525.4546</v>
      </c>
      <c r="P340" s="261">
        <f t="shared" si="91"/>
        <v>99.99999387015924</v>
      </c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</row>
    <row r="341" spans="1:33" s="23" customFormat="1" ht="26.25">
      <c r="A341" s="6" t="s">
        <v>318</v>
      </c>
      <c r="B341" s="11" t="s">
        <v>166</v>
      </c>
      <c r="C341" s="11" t="s">
        <v>145</v>
      </c>
      <c r="D341" s="11" t="s">
        <v>178</v>
      </c>
      <c r="E341" s="12" t="s">
        <v>42</v>
      </c>
      <c r="F341" s="13" t="s">
        <v>316</v>
      </c>
      <c r="G341" s="34"/>
      <c r="H341" s="55"/>
      <c r="I341" s="55"/>
      <c r="J341" s="56"/>
      <c r="K341" s="55"/>
      <c r="L341" s="55"/>
      <c r="M341" s="55">
        <f>M342</f>
        <v>50</v>
      </c>
      <c r="N341" s="207">
        <f>N342</f>
        <v>25</v>
      </c>
      <c r="O341" s="207">
        <f>O342</f>
        <v>25</v>
      </c>
      <c r="P341" s="261">
        <f t="shared" si="91"/>
        <v>100</v>
      </c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</row>
    <row r="342" spans="1:33" s="23" customFormat="1" ht="15">
      <c r="A342" s="105" t="s">
        <v>317</v>
      </c>
      <c r="B342" s="11" t="s">
        <v>166</v>
      </c>
      <c r="C342" s="11" t="s">
        <v>145</v>
      </c>
      <c r="D342" s="11" t="s">
        <v>178</v>
      </c>
      <c r="E342" s="12" t="s">
        <v>42</v>
      </c>
      <c r="F342" s="13" t="s">
        <v>316</v>
      </c>
      <c r="G342" s="34">
        <v>3</v>
      </c>
      <c r="H342" s="55"/>
      <c r="I342" s="55"/>
      <c r="J342" s="56"/>
      <c r="K342" s="55"/>
      <c r="L342" s="55"/>
      <c r="M342" s="103">
        <f>50</f>
        <v>50</v>
      </c>
      <c r="N342" s="207">
        <f>120-70-25</f>
        <v>25</v>
      </c>
      <c r="O342" s="207">
        <f>120-70-25</f>
        <v>25</v>
      </c>
      <c r="P342" s="261">
        <f t="shared" si="91"/>
        <v>100</v>
      </c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</row>
    <row r="343" spans="1:33" s="23" customFormat="1" ht="15">
      <c r="A343" s="105" t="s">
        <v>429</v>
      </c>
      <c r="B343" s="11" t="s">
        <v>166</v>
      </c>
      <c r="C343" s="11" t="s">
        <v>145</v>
      </c>
      <c r="D343" s="11" t="s">
        <v>178</v>
      </c>
      <c r="E343" s="37" t="s">
        <v>430</v>
      </c>
      <c r="F343" s="13"/>
      <c r="G343" s="34"/>
      <c r="H343" s="55"/>
      <c r="I343" s="55"/>
      <c r="J343" s="56"/>
      <c r="K343" s="55"/>
      <c r="L343" s="55"/>
      <c r="M343" s="103"/>
      <c r="N343" s="207">
        <f>N344</f>
        <v>1820</v>
      </c>
      <c r="O343" s="207">
        <f>O344</f>
        <v>1820</v>
      </c>
      <c r="P343" s="261">
        <f t="shared" si="91"/>
        <v>100</v>
      </c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</row>
    <row r="344" spans="1:33" s="23" customFormat="1" ht="26.25">
      <c r="A344" s="105" t="s">
        <v>431</v>
      </c>
      <c r="B344" s="11" t="s">
        <v>166</v>
      </c>
      <c r="C344" s="11" t="s">
        <v>145</v>
      </c>
      <c r="D344" s="11" t="s">
        <v>178</v>
      </c>
      <c r="E344" s="37" t="s">
        <v>432</v>
      </c>
      <c r="F344" s="13"/>
      <c r="G344" s="34"/>
      <c r="H344" s="55"/>
      <c r="I344" s="55"/>
      <c r="J344" s="56"/>
      <c r="K344" s="55"/>
      <c r="L344" s="55"/>
      <c r="M344" s="103"/>
      <c r="N344" s="207">
        <f>N345</f>
        <v>1820</v>
      </c>
      <c r="O344" s="207">
        <f>O345</f>
        <v>1820</v>
      </c>
      <c r="P344" s="261">
        <f t="shared" si="91"/>
        <v>100</v>
      </c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</row>
    <row r="345" spans="1:33" s="23" customFormat="1" ht="26.25">
      <c r="A345" s="6" t="s">
        <v>318</v>
      </c>
      <c r="B345" s="11" t="s">
        <v>166</v>
      </c>
      <c r="C345" s="11" t="s">
        <v>145</v>
      </c>
      <c r="D345" s="11" t="s">
        <v>178</v>
      </c>
      <c r="E345" s="37" t="s">
        <v>432</v>
      </c>
      <c r="F345" s="13" t="s">
        <v>316</v>
      </c>
      <c r="G345" s="34"/>
      <c r="H345" s="55"/>
      <c r="I345" s="55"/>
      <c r="J345" s="56"/>
      <c r="K345" s="55"/>
      <c r="L345" s="55"/>
      <c r="M345" s="103"/>
      <c r="N345" s="207">
        <f>N346+N347</f>
        <v>1820</v>
      </c>
      <c r="O345" s="207">
        <f>O346+O347</f>
        <v>1820</v>
      </c>
      <c r="P345" s="261">
        <f t="shared" si="91"/>
        <v>100</v>
      </c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</row>
    <row r="346" spans="1:33" s="23" customFormat="1" ht="15">
      <c r="A346" s="168" t="s">
        <v>210</v>
      </c>
      <c r="B346" s="11" t="s">
        <v>166</v>
      </c>
      <c r="C346" s="11" t="s">
        <v>145</v>
      </c>
      <c r="D346" s="11" t="s">
        <v>178</v>
      </c>
      <c r="E346" s="37" t="s">
        <v>432</v>
      </c>
      <c r="F346" s="13" t="s">
        <v>316</v>
      </c>
      <c r="G346" s="34">
        <v>1</v>
      </c>
      <c r="H346" s="55"/>
      <c r="I346" s="55"/>
      <c r="J346" s="56"/>
      <c r="K346" s="55"/>
      <c r="L346" s="55"/>
      <c r="M346" s="103"/>
      <c r="N346" s="207">
        <f>1620</f>
        <v>1620</v>
      </c>
      <c r="O346" s="207">
        <f>1620</f>
        <v>1620</v>
      </c>
      <c r="P346" s="261">
        <f t="shared" si="91"/>
        <v>100</v>
      </c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</row>
    <row r="347" spans="1:16" s="23" customFormat="1" ht="15">
      <c r="A347" s="200" t="s">
        <v>317</v>
      </c>
      <c r="B347" s="201" t="s">
        <v>166</v>
      </c>
      <c r="C347" s="201" t="s">
        <v>145</v>
      </c>
      <c r="D347" s="201" t="s">
        <v>178</v>
      </c>
      <c r="E347" s="202" t="s">
        <v>432</v>
      </c>
      <c r="F347" s="101" t="s">
        <v>316</v>
      </c>
      <c r="G347" s="187">
        <v>3</v>
      </c>
      <c r="H347" s="183"/>
      <c r="I347" s="183"/>
      <c r="J347" s="184"/>
      <c r="K347" s="183"/>
      <c r="L347" s="183"/>
      <c r="M347" s="183"/>
      <c r="N347" s="218">
        <f>200+200+620+450+1.5-243.356-52.4-346.1-360-269.644</f>
        <v>199.9999999999999</v>
      </c>
      <c r="O347" s="218">
        <f>200+200+620+450+1.5-243.356-52.4-346.1-360-269.644</f>
        <v>199.9999999999999</v>
      </c>
      <c r="P347" s="261">
        <f t="shared" si="91"/>
        <v>100</v>
      </c>
    </row>
    <row r="348" spans="1:16" ht="26.25">
      <c r="A348" s="5" t="s">
        <v>5</v>
      </c>
      <c r="B348" s="12" t="s">
        <v>166</v>
      </c>
      <c r="C348" s="11" t="s">
        <v>145</v>
      </c>
      <c r="D348" s="11" t="s">
        <v>178</v>
      </c>
      <c r="E348" s="12" t="s">
        <v>6</v>
      </c>
      <c r="F348" s="12"/>
      <c r="G348" s="34"/>
      <c r="H348" s="55">
        <f>H349</f>
        <v>1425.6</v>
      </c>
      <c r="I348" s="55">
        <f>I349</f>
        <v>0</v>
      </c>
      <c r="J348" s="56">
        <f t="shared" si="90"/>
        <v>-1425.6</v>
      </c>
      <c r="K348" s="55">
        <f>K349</f>
        <v>1373.7</v>
      </c>
      <c r="L348" s="55">
        <f>L349</f>
        <v>1373.7</v>
      </c>
      <c r="M348" s="55">
        <f>M349</f>
        <v>1373.7</v>
      </c>
      <c r="N348" s="207">
        <f>N349</f>
        <v>2460.1000000000004</v>
      </c>
      <c r="O348" s="207">
        <f>O349</f>
        <v>2387.1000000000004</v>
      </c>
      <c r="P348" s="261">
        <f t="shared" si="91"/>
        <v>97.03264094955489</v>
      </c>
    </row>
    <row r="349" spans="1:16" ht="26.25">
      <c r="A349" s="5" t="s">
        <v>90</v>
      </c>
      <c r="B349" s="12" t="s">
        <v>166</v>
      </c>
      <c r="C349" s="11" t="s">
        <v>145</v>
      </c>
      <c r="D349" s="11" t="s">
        <v>178</v>
      </c>
      <c r="E349" s="12" t="s">
        <v>92</v>
      </c>
      <c r="F349" s="12"/>
      <c r="G349" s="34"/>
      <c r="H349" s="55">
        <f>H351</f>
        <v>1425.6</v>
      </c>
      <c r="I349" s="55">
        <f>I351</f>
        <v>0</v>
      </c>
      <c r="J349" s="56">
        <f t="shared" si="90"/>
        <v>-1425.6</v>
      </c>
      <c r="K349" s="55">
        <f>K351</f>
        <v>1373.7</v>
      </c>
      <c r="L349" s="55">
        <f>L351</f>
        <v>1373.7</v>
      </c>
      <c r="M349" s="55">
        <f aca="true" t="shared" si="94" ref="M349:O350">M350</f>
        <v>1373.7</v>
      </c>
      <c r="N349" s="207">
        <f t="shared" si="94"/>
        <v>2460.1000000000004</v>
      </c>
      <c r="O349" s="207">
        <f t="shared" si="94"/>
        <v>2387.1000000000004</v>
      </c>
      <c r="P349" s="261">
        <f t="shared" si="91"/>
        <v>97.03264094955489</v>
      </c>
    </row>
    <row r="350" spans="1:16" ht="64.5">
      <c r="A350" s="6" t="s">
        <v>319</v>
      </c>
      <c r="B350" s="12" t="s">
        <v>166</v>
      </c>
      <c r="C350" s="11" t="s">
        <v>145</v>
      </c>
      <c r="D350" s="11" t="s">
        <v>178</v>
      </c>
      <c r="E350" s="12" t="s">
        <v>92</v>
      </c>
      <c r="F350" s="37" t="s">
        <v>315</v>
      </c>
      <c r="G350" s="34"/>
      <c r="H350" s="55"/>
      <c r="I350" s="55"/>
      <c r="J350" s="56"/>
      <c r="K350" s="55"/>
      <c r="L350" s="55"/>
      <c r="M350" s="55">
        <f t="shared" si="94"/>
        <v>1373.7</v>
      </c>
      <c r="N350" s="207">
        <f>N351+N352</f>
        <v>2460.1000000000004</v>
      </c>
      <c r="O350" s="207">
        <f>O351+O352</f>
        <v>2387.1000000000004</v>
      </c>
      <c r="P350" s="261">
        <f t="shared" si="91"/>
        <v>97.03264094955489</v>
      </c>
    </row>
    <row r="351" spans="1:33" s="69" customFormat="1" ht="15">
      <c r="A351" s="109" t="s">
        <v>210</v>
      </c>
      <c r="B351" s="12" t="s">
        <v>166</v>
      </c>
      <c r="C351" s="11" t="s">
        <v>145</v>
      </c>
      <c r="D351" s="11" t="s">
        <v>178</v>
      </c>
      <c r="E351" s="12" t="s">
        <v>92</v>
      </c>
      <c r="F351" s="37" t="s">
        <v>315</v>
      </c>
      <c r="G351" s="34">
        <v>1</v>
      </c>
      <c r="H351" s="55">
        <v>1425.6</v>
      </c>
      <c r="I351" s="55"/>
      <c r="J351" s="56">
        <f t="shared" si="90"/>
        <v>-1425.6</v>
      </c>
      <c r="K351" s="55">
        <f>358.861+1014.839</f>
        <v>1373.7</v>
      </c>
      <c r="L351" s="55">
        <f>358.861+1014.839</f>
        <v>1373.7</v>
      </c>
      <c r="M351" s="55">
        <v>1373.7</v>
      </c>
      <c r="N351" s="207">
        <f>1285.9-49.6-122</f>
        <v>1114.3000000000002</v>
      </c>
      <c r="O351" s="207">
        <f>1285.9-49.6-122</f>
        <v>1114.3000000000002</v>
      </c>
      <c r="P351" s="261">
        <f t="shared" si="91"/>
        <v>100</v>
      </c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</row>
    <row r="352" spans="1:33" s="69" customFormat="1" ht="15">
      <c r="A352" s="109" t="s">
        <v>211</v>
      </c>
      <c r="B352" s="12" t="s">
        <v>166</v>
      </c>
      <c r="C352" s="11" t="s">
        <v>145</v>
      </c>
      <c r="D352" s="11" t="s">
        <v>178</v>
      </c>
      <c r="E352" s="12" t="s">
        <v>92</v>
      </c>
      <c r="F352" s="37" t="s">
        <v>315</v>
      </c>
      <c r="G352" s="34">
        <v>2</v>
      </c>
      <c r="H352" s="55"/>
      <c r="I352" s="55"/>
      <c r="J352" s="56"/>
      <c r="K352" s="55"/>
      <c r="L352" s="55"/>
      <c r="M352" s="55"/>
      <c r="N352" s="207">
        <f>1285.9-30.8+90.7</f>
        <v>1345.8000000000002</v>
      </c>
      <c r="O352" s="207">
        <v>1272.8</v>
      </c>
      <c r="P352" s="261">
        <f t="shared" si="91"/>
        <v>94.5757170456234</v>
      </c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</row>
    <row r="353" spans="1:16" ht="77.25">
      <c r="A353" s="109" t="s">
        <v>294</v>
      </c>
      <c r="B353" s="12" t="s">
        <v>166</v>
      </c>
      <c r="C353" s="11" t="s">
        <v>145</v>
      </c>
      <c r="D353" s="11" t="s">
        <v>178</v>
      </c>
      <c r="E353" s="12" t="s">
        <v>240</v>
      </c>
      <c r="F353" s="12"/>
      <c r="G353" s="34"/>
      <c r="H353" s="55">
        <f>H354</f>
        <v>56807.1</v>
      </c>
      <c r="I353" s="55">
        <f>I354</f>
        <v>83830.1</v>
      </c>
      <c r="J353" s="56">
        <f t="shared" si="90"/>
        <v>27023.000000000007</v>
      </c>
      <c r="K353" s="55">
        <f aca="true" t="shared" si="95" ref="K353:O354">K354</f>
        <v>83830.1</v>
      </c>
      <c r="L353" s="55">
        <f t="shared" si="95"/>
        <v>83830.1</v>
      </c>
      <c r="M353" s="55">
        <f t="shared" si="95"/>
        <v>87748.9</v>
      </c>
      <c r="N353" s="207">
        <f t="shared" si="95"/>
        <v>96188.8</v>
      </c>
      <c r="O353" s="207">
        <f t="shared" si="95"/>
        <v>96261.8</v>
      </c>
      <c r="P353" s="261">
        <f t="shared" si="91"/>
        <v>100.07589241159054</v>
      </c>
    </row>
    <row r="354" spans="1:16" ht="64.5">
      <c r="A354" s="6" t="s">
        <v>319</v>
      </c>
      <c r="B354" s="12" t="s">
        <v>166</v>
      </c>
      <c r="C354" s="11" t="s">
        <v>145</v>
      </c>
      <c r="D354" s="11" t="s">
        <v>178</v>
      </c>
      <c r="E354" s="12" t="s">
        <v>240</v>
      </c>
      <c r="F354" s="37" t="s">
        <v>315</v>
      </c>
      <c r="G354" s="34"/>
      <c r="H354" s="55">
        <f>H355</f>
        <v>56807.1</v>
      </c>
      <c r="I354" s="55">
        <f>I355</f>
        <v>83830.1</v>
      </c>
      <c r="J354" s="56">
        <f t="shared" si="90"/>
        <v>27023.000000000007</v>
      </c>
      <c r="K354" s="55">
        <f t="shared" si="95"/>
        <v>83830.1</v>
      </c>
      <c r="L354" s="55">
        <f t="shared" si="95"/>
        <v>83830.1</v>
      </c>
      <c r="M354" s="55">
        <f t="shared" si="95"/>
        <v>87748.9</v>
      </c>
      <c r="N354" s="207">
        <f t="shared" si="95"/>
        <v>96188.8</v>
      </c>
      <c r="O354" s="207">
        <f t="shared" si="95"/>
        <v>96261.8</v>
      </c>
      <c r="P354" s="261">
        <f t="shared" si="91"/>
        <v>100.07589241159054</v>
      </c>
    </row>
    <row r="355" spans="1:33" s="68" customFormat="1" ht="15">
      <c r="A355" s="109" t="s">
        <v>211</v>
      </c>
      <c r="B355" s="12" t="s">
        <v>166</v>
      </c>
      <c r="C355" s="11" t="s">
        <v>145</v>
      </c>
      <c r="D355" s="11" t="s">
        <v>178</v>
      </c>
      <c r="E355" s="12" t="s">
        <v>240</v>
      </c>
      <c r="F355" s="37" t="s">
        <v>315</v>
      </c>
      <c r="G355" s="34">
        <v>2</v>
      </c>
      <c r="H355" s="55">
        <v>56807.1</v>
      </c>
      <c r="I355" s="55">
        <v>83830.1</v>
      </c>
      <c r="J355" s="56">
        <f t="shared" si="90"/>
        <v>27023.000000000007</v>
      </c>
      <c r="K355" s="55">
        <v>83830.1</v>
      </c>
      <c r="L355" s="55">
        <v>83830.1</v>
      </c>
      <c r="M355" s="55">
        <v>87748.9</v>
      </c>
      <c r="N355" s="207">
        <f>94288.3+1900.5</f>
        <v>96188.8</v>
      </c>
      <c r="O355" s="207">
        <v>96261.8</v>
      </c>
      <c r="P355" s="261">
        <f t="shared" si="91"/>
        <v>100.07589241159054</v>
      </c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</row>
    <row r="356" spans="1:33" s="68" customFormat="1" ht="76.5" customHeight="1">
      <c r="A356" s="6" t="s">
        <v>353</v>
      </c>
      <c r="B356" s="12" t="s">
        <v>166</v>
      </c>
      <c r="C356" s="11" t="s">
        <v>145</v>
      </c>
      <c r="D356" s="11" t="s">
        <v>178</v>
      </c>
      <c r="E356" s="37" t="s">
        <v>354</v>
      </c>
      <c r="F356" s="13"/>
      <c r="G356" s="34"/>
      <c r="H356" s="55"/>
      <c r="I356" s="55"/>
      <c r="J356" s="56"/>
      <c r="K356" s="55"/>
      <c r="L356" s="55"/>
      <c r="M356" s="55">
        <f aca="true" t="shared" si="96" ref="M356:O357">M357</f>
        <v>456</v>
      </c>
      <c r="N356" s="207">
        <f t="shared" si="96"/>
        <v>0</v>
      </c>
      <c r="O356" s="207">
        <f t="shared" si="96"/>
        <v>0</v>
      </c>
      <c r="P356" s="261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</row>
    <row r="357" spans="1:33" s="68" customFormat="1" ht="51.75" customHeight="1">
      <c r="A357" s="6" t="s">
        <v>319</v>
      </c>
      <c r="B357" s="12" t="s">
        <v>166</v>
      </c>
      <c r="C357" s="11" t="s">
        <v>145</v>
      </c>
      <c r="D357" s="11" t="s">
        <v>178</v>
      </c>
      <c r="E357" s="37" t="s">
        <v>354</v>
      </c>
      <c r="F357" s="37" t="s">
        <v>315</v>
      </c>
      <c r="G357" s="34"/>
      <c r="H357" s="55"/>
      <c r="I357" s="55"/>
      <c r="J357" s="56"/>
      <c r="K357" s="55"/>
      <c r="L357" s="55"/>
      <c r="M357" s="55">
        <f t="shared" si="96"/>
        <v>456</v>
      </c>
      <c r="N357" s="207">
        <f t="shared" si="96"/>
        <v>0</v>
      </c>
      <c r="O357" s="207">
        <f t="shared" si="96"/>
        <v>0</v>
      </c>
      <c r="P357" s="261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</row>
    <row r="358" spans="1:33" s="68" customFormat="1" ht="26.25" customHeight="1">
      <c r="A358" s="109" t="s">
        <v>211</v>
      </c>
      <c r="B358" s="12" t="s">
        <v>166</v>
      </c>
      <c r="C358" s="11" t="s">
        <v>145</v>
      </c>
      <c r="D358" s="11" t="s">
        <v>178</v>
      </c>
      <c r="E358" s="37" t="s">
        <v>354</v>
      </c>
      <c r="F358" s="37" t="s">
        <v>315</v>
      </c>
      <c r="G358" s="34">
        <v>2</v>
      </c>
      <c r="H358" s="55"/>
      <c r="I358" s="55"/>
      <c r="J358" s="56"/>
      <c r="K358" s="55"/>
      <c r="L358" s="55"/>
      <c r="M358" s="55">
        <v>456</v>
      </c>
      <c r="N358" s="207"/>
      <c r="O358" s="207"/>
      <c r="P358" s="261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</row>
    <row r="359" spans="1:16" ht="90">
      <c r="A359" s="6" t="s">
        <v>242</v>
      </c>
      <c r="B359" s="12" t="s">
        <v>166</v>
      </c>
      <c r="C359" s="11" t="s">
        <v>145</v>
      </c>
      <c r="D359" s="11" t="s">
        <v>178</v>
      </c>
      <c r="E359" s="12" t="s">
        <v>196</v>
      </c>
      <c r="F359" s="12"/>
      <c r="G359" s="34"/>
      <c r="H359" s="55">
        <f>H360</f>
        <v>3478.2</v>
      </c>
      <c r="I359" s="55">
        <f>I360</f>
        <v>2488</v>
      </c>
      <c r="J359" s="56">
        <f>I359-H359</f>
        <v>-990.1999999999998</v>
      </c>
      <c r="K359" s="55">
        <f aca="true" t="shared" si="97" ref="K359:O360">K360</f>
        <v>2488</v>
      </c>
      <c r="L359" s="55">
        <f t="shared" si="97"/>
        <v>2488</v>
      </c>
      <c r="M359" s="55">
        <f t="shared" si="97"/>
        <v>2540.5</v>
      </c>
      <c r="N359" s="207">
        <f t="shared" si="97"/>
        <v>3540.8</v>
      </c>
      <c r="O359" s="207">
        <f t="shared" si="97"/>
        <v>3540.8</v>
      </c>
      <c r="P359" s="261">
        <f t="shared" si="91"/>
        <v>100</v>
      </c>
    </row>
    <row r="360" spans="1:16" ht="64.5">
      <c r="A360" s="6" t="s">
        <v>319</v>
      </c>
      <c r="B360" s="12" t="s">
        <v>166</v>
      </c>
      <c r="C360" s="11" t="s">
        <v>145</v>
      </c>
      <c r="D360" s="11" t="s">
        <v>178</v>
      </c>
      <c r="E360" s="12" t="s">
        <v>196</v>
      </c>
      <c r="F360" s="37" t="s">
        <v>315</v>
      </c>
      <c r="G360" s="34"/>
      <c r="H360" s="55">
        <f>H361</f>
        <v>3478.2</v>
      </c>
      <c r="I360" s="55">
        <f>I361</f>
        <v>2488</v>
      </c>
      <c r="J360" s="56">
        <f>I360-H360</f>
        <v>-990.1999999999998</v>
      </c>
      <c r="K360" s="55">
        <f t="shared" si="97"/>
        <v>2488</v>
      </c>
      <c r="L360" s="55">
        <f t="shared" si="97"/>
        <v>2488</v>
      </c>
      <c r="M360" s="55">
        <f t="shared" si="97"/>
        <v>2540.5</v>
      </c>
      <c r="N360" s="207">
        <f t="shared" si="97"/>
        <v>3540.8</v>
      </c>
      <c r="O360" s="207">
        <f t="shared" si="97"/>
        <v>3540.8</v>
      </c>
      <c r="P360" s="261">
        <f t="shared" si="91"/>
        <v>100</v>
      </c>
    </row>
    <row r="361" spans="1:33" s="68" customFormat="1" ht="15">
      <c r="A361" s="6" t="s">
        <v>211</v>
      </c>
      <c r="B361" s="12" t="s">
        <v>166</v>
      </c>
      <c r="C361" s="11" t="s">
        <v>145</v>
      </c>
      <c r="D361" s="11" t="s">
        <v>178</v>
      </c>
      <c r="E361" s="12" t="s">
        <v>196</v>
      </c>
      <c r="F361" s="37" t="s">
        <v>315</v>
      </c>
      <c r="G361" s="34">
        <v>2</v>
      </c>
      <c r="H361" s="55">
        <v>3478.2</v>
      </c>
      <c r="I361" s="55">
        <v>2488</v>
      </c>
      <c r="J361" s="56">
        <f>I361-H361</f>
        <v>-990.1999999999998</v>
      </c>
      <c r="K361" s="55">
        <v>2488</v>
      </c>
      <c r="L361" s="55">
        <v>2488</v>
      </c>
      <c r="M361" s="55">
        <v>2540.5</v>
      </c>
      <c r="N361" s="207">
        <f>3071.8+469</f>
        <v>3540.8</v>
      </c>
      <c r="O361" s="207">
        <f>3071.8+469</f>
        <v>3540.8</v>
      </c>
      <c r="P361" s="261">
        <f t="shared" si="91"/>
        <v>100</v>
      </c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</row>
    <row r="362" spans="1:33" s="68" customFormat="1" ht="15">
      <c r="A362" s="120" t="s">
        <v>101</v>
      </c>
      <c r="B362" s="12" t="s">
        <v>166</v>
      </c>
      <c r="C362" s="11" t="s">
        <v>145</v>
      </c>
      <c r="D362" s="11" t="s">
        <v>178</v>
      </c>
      <c r="E362" s="37" t="s">
        <v>102</v>
      </c>
      <c r="F362" s="13"/>
      <c r="G362" s="34"/>
      <c r="H362" s="55"/>
      <c r="I362" s="55"/>
      <c r="J362" s="56"/>
      <c r="K362" s="55"/>
      <c r="L362" s="55"/>
      <c r="M362" s="55"/>
      <c r="N362" s="207">
        <f>N363+N366</f>
        <v>396.75513</v>
      </c>
      <c r="O362" s="207">
        <f>O363+O366</f>
        <v>396.75513</v>
      </c>
      <c r="P362" s="261">
        <f t="shared" si="91"/>
        <v>100</v>
      </c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</row>
    <row r="363" spans="1:33" s="68" customFormat="1" ht="39">
      <c r="A363" s="145" t="s">
        <v>387</v>
      </c>
      <c r="B363" s="12" t="s">
        <v>166</v>
      </c>
      <c r="C363" s="11" t="s">
        <v>145</v>
      </c>
      <c r="D363" s="11" t="s">
        <v>178</v>
      </c>
      <c r="E363" s="37" t="s">
        <v>386</v>
      </c>
      <c r="F363" s="13"/>
      <c r="G363" s="34"/>
      <c r="H363" s="55"/>
      <c r="I363" s="55"/>
      <c r="J363" s="56"/>
      <c r="K363" s="55"/>
      <c r="L363" s="55"/>
      <c r="M363" s="55"/>
      <c r="N363" s="207">
        <f>N364</f>
        <v>346</v>
      </c>
      <c r="O363" s="207">
        <f>O364</f>
        <v>346</v>
      </c>
      <c r="P363" s="261">
        <f t="shared" si="91"/>
        <v>100</v>
      </c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</row>
    <row r="364" spans="1:33" s="68" customFormat="1" ht="26.25">
      <c r="A364" s="6" t="s">
        <v>318</v>
      </c>
      <c r="B364" s="12" t="s">
        <v>166</v>
      </c>
      <c r="C364" s="11" t="s">
        <v>145</v>
      </c>
      <c r="D364" s="11" t="s">
        <v>178</v>
      </c>
      <c r="E364" s="37" t="s">
        <v>386</v>
      </c>
      <c r="F364" s="13" t="s">
        <v>316</v>
      </c>
      <c r="G364" s="34"/>
      <c r="H364" s="55"/>
      <c r="I364" s="55"/>
      <c r="J364" s="56"/>
      <c r="K364" s="55"/>
      <c r="L364" s="55"/>
      <c r="M364" s="55"/>
      <c r="N364" s="207">
        <f>N365</f>
        <v>346</v>
      </c>
      <c r="O364" s="207">
        <f>O365</f>
        <v>346</v>
      </c>
      <c r="P364" s="261">
        <f t="shared" si="91"/>
        <v>100</v>
      </c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</row>
    <row r="365" spans="1:33" s="68" customFormat="1" ht="15">
      <c r="A365" s="6" t="s">
        <v>211</v>
      </c>
      <c r="B365" s="13" t="s">
        <v>166</v>
      </c>
      <c r="C365" s="11" t="s">
        <v>145</v>
      </c>
      <c r="D365" s="11" t="s">
        <v>178</v>
      </c>
      <c r="E365" s="37" t="s">
        <v>386</v>
      </c>
      <c r="F365" s="13" t="s">
        <v>316</v>
      </c>
      <c r="G365" s="34">
        <v>2</v>
      </c>
      <c r="H365" s="55"/>
      <c r="I365" s="55"/>
      <c r="J365" s="56"/>
      <c r="K365" s="55"/>
      <c r="L365" s="55"/>
      <c r="M365" s="55"/>
      <c r="N365" s="207">
        <v>346</v>
      </c>
      <c r="O365" s="207">
        <v>346</v>
      </c>
      <c r="P365" s="261">
        <f t="shared" si="91"/>
        <v>100</v>
      </c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</row>
    <row r="366" spans="1:33" s="68" customFormat="1" ht="15">
      <c r="A366" s="5" t="s">
        <v>104</v>
      </c>
      <c r="B366" s="13" t="s">
        <v>166</v>
      </c>
      <c r="C366" s="11" t="s">
        <v>145</v>
      </c>
      <c r="D366" s="11" t="s">
        <v>178</v>
      </c>
      <c r="E366" s="12" t="s">
        <v>103</v>
      </c>
      <c r="F366" s="13"/>
      <c r="G366" s="34"/>
      <c r="H366" s="55"/>
      <c r="I366" s="55"/>
      <c r="J366" s="56"/>
      <c r="K366" s="55"/>
      <c r="L366" s="55"/>
      <c r="M366" s="55"/>
      <c r="N366" s="207">
        <f>N367</f>
        <v>50.755129999999994</v>
      </c>
      <c r="O366" s="207">
        <f>O367</f>
        <v>50.755129999999994</v>
      </c>
      <c r="P366" s="261">
        <f t="shared" si="91"/>
        <v>100</v>
      </c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</row>
    <row r="367" spans="1:33" s="68" customFormat="1" ht="26.25">
      <c r="A367" s="6" t="s">
        <v>318</v>
      </c>
      <c r="B367" s="13" t="s">
        <v>166</v>
      </c>
      <c r="C367" s="11" t="s">
        <v>145</v>
      </c>
      <c r="D367" s="11" t="s">
        <v>178</v>
      </c>
      <c r="E367" s="12" t="s">
        <v>103</v>
      </c>
      <c r="F367" s="13" t="s">
        <v>316</v>
      </c>
      <c r="G367" s="34"/>
      <c r="H367" s="55"/>
      <c r="I367" s="55"/>
      <c r="J367" s="56"/>
      <c r="K367" s="55"/>
      <c r="L367" s="55"/>
      <c r="M367" s="55"/>
      <c r="N367" s="207">
        <f>N368</f>
        <v>50.755129999999994</v>
      </c>
      <c r="O367" s="207">
        <f>O368</f>
        <v>50.755129999999994</v>
      </c>
      <c r="P367" s="261">
        <f t="shared" si="91"/>
        <v>100</v>
      </c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</row>
    <row r="368" spans="1:33" s="68" customFormat="1" ht="15">
      <c r="A368" s="6" t="s">
        <v>209</v>
      </c>
      <c r="B368" s="13" t="s">
        <v>166</v>
      </c>
      <c r="C368" s="11" t="s">
        <v>145</v>
      </c>
      <c r="D368" s="11" t="s">
        <v>178</v>
      </c>
      <c r="E368" s="12" t="s">
        <v>103</v>
      </c>
      <c r="F368" s="13" t="s">
        <v>316</v>
      </c>
      <c r="G368" s="34">
        <v>3</v>
      </c>
      <c r="H368" s="55"/>
      <c r="I368" s="55"/>
      <c r="J368" s="56"/>
      <c r="K368" s="55"/>
      <c r="L368" s="55"/>
      <c r="M368" s="55"/>
      <c r="N368" s="207">
        <f>37.48+13.27513</f>
        <v>50.755129999999994</v>
      </c>
      <c r="O368" s="207">
        <f>37.48+13.27513</f>
        <v>50.755129999999994</v>
      </c>
      <c r="P368" s="261">
        <f t="shared" si="91"/>
        <v>100</v>
      </c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</row>
    <row r="369" spans="1:33" s="68" customFormat="1" ht="39">
      <c r="A369" s="105" t="s">
        <v>377</v>
      </c>
      <c r="B369" s="12" t="s">
        <v>166</v>
      </c>
      <c r="C369" s="11" t="s">
        <v>145</v>
      </c>
      <c r="D369" s="11" t="s">
        <v>178</v>
      </c>
      <c r="E369" s="12" t="s">
        <v>161</v>
      </c>
      <c r="F369" s="37"/>
      <c r="G369" s="34"/>
      <c r="H369" s="55"/>
      <c r="I369" s="55"/>
      <c r="J369" s="56"/>
      <c r="K369" s="55"/>
      <c r="L369" s="55"/>
      <c r="M369" s="55">
        <f aca="true" t="shared" si="98" ref="M369:O370">M370</f>
        <v>0</v>
      </c>
      <c r="N369" s="207">
        <f t="shared" si="98"/>
        <v>737</v>
      </c>
      <c r="O369" s="207">
        <f t="shared" si="98"/>
        <v>737</v>
      </c>
      <c r="P369" s="261">
        <f t="shared" si="91"/>
        <v>100</v>
      </c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</row>
    <row r="370" spans="1:33" s="68" customFormat="1" ht="26.25">
      <c r="A370" s="6" t="s">
        <v>318</v>
      </c>
      <c r="B370" s="12" t="s">
        <v>166</v>
      </c>
      <c r="C370" s="11" t="s">
        <v>145</v>
      </c>
      <c r="D370" s="11" t="s">
        <v>178</v>
      </c>
      <c r="E370" s="12" t="s">
        <v>161</v>
      </c>
      <c r="F370" s="37" t="s">
        <v>316</v>
      </c>
      <c r="G370" s="34"/>
      <c r="H370" s="55"/>
      <c r="I370" s="55"/>
      <c r="J370" s="56"/>
      <c r="K370" s="55"/>
      <c r="L370" s="55"/>
      <c r="M370" s="55">
        <f t="shared" si="98"/>
        <v>0</v>
      </c>
      <c r="N370" s="207">
        <f t="shared" si="98"/>
        <v>737</v>
      </c>
      <c r="O370" s="207">
        <f t="shared" si="98"/>
        <v>737</v>
      </c>
      <c r="P370" s="261">
        <f t="shared" si="91"/>
        <v>100</v>
      </c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</row>
    <row r="371" spans="1:33" s="68" customFormat="1" ht="15">
      <c r="A371" s="6" t="s">
        <v>211</v>
      </c>
      <c r="B371" s="12" t="s">
        <v>166</v>
      </c>
      <c r="C371" s="11" t="s">
        <v>145</v>
      </c>
      <c r="D371" s="11" t="s">
        <v>178</v>
      </c>
      <c r="E371" s="12" t="s">
        <v>161</v>
      </c>
      <c r="F371" s="37" t="s">
        <v>316</v>
      </c>
      <c r="G371" s="34">
        <v>2</v>
      </c>
      <c r="H371" s="55"/>
      <c r="I371" s="55"/>
      <c r="J371" s="56"/>
      <c r="K371" s="55"/>
      <c r="L371" s="55"/>
      <c r="M371" s="55"/>
      <c r="N371" s="225">
        <f>250+122+100+215+50</f>
        <v>737</v>
      </c>
      <c r="O371" s="225">
        <f>250+122+100+215+50</f>
        <v>737</v>
      </c>
      <c r="P371" s="261">
        <f t="shared" si="91"/>
        <v>100</v>
      </c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</row>
    <row r="372" spans="1:16" ht="42.75" customHeight="1">
      <c r="A372" s="5" t="s">
        <v>162</v>
      </c>
      <c r="B372" s="13" t="s">
        <v>166</v>
      </c>
      <c r="C372" s="11" t="s">
        <v>145</v>
      </c>
      <c r="D372" s="11" t="s">
        <v>178</v>
      </c>
      <c r="E372" s="12" t="s">
        <v>241</v>
      </c>
      <c r="F372" s="13"/>
      <c r="G372" s="34"/>
      <c r="H372" s="55">
        <f>H373</f>
        <v>91</v>
      </c>
      <c r="I372" s="55">
        <f>I373</f>
        <v>0</v>
      </c>
      <c r="J372" s="56">
        <f>I372-H372</f>
        <v>-91</v>
      </c>
      <c r="K372" s="55">
        <f aca="true" t="shared" si="99" ref="K372:O373">K373</f>
        <v>0</v>
      </c>
      <c r="L372" s="55">
        <f t="shared" si="99"/>
        <v>96.17</v>
      </c>
      <c r="M372" s="55">
        <f t="shared" si="99"/>
        <v>0</v>
      </c>
      <c r="N372" s="207">
        <f t="shared" si="99"/>
        <v>134.61</v>
      </c>
      <c r="O372" s="207">
        <f t="shared" si="99"/>
        <v>134.61</v>
      </c>
      <c r="P372" s="261">
        <f t="shared" si="91"/>
        <v>100</v>
      </c>
    </row>
    <row r="373" spans="1:16" ht="26.25">
      <c r="A373" s="6" t="s">
        <v>318</v>
      </c>
      <c r="B373" s="13" t="s">
        <v>166</v>
      </c>
      <c r="C373" s="11" t="s">
        <v>145</v>
      </c>
      <c r="D373" s="11" t="s">
        <v>178</v>
      </c>
      <c r="E373" s="12" t="s">
        <v>241</v>
      </c>
      <c r="F373" s="13" t="s">
        <v>316</v>
      </c>
      <c r="G373" s="34"/>
      <c r="H373" s="55">
        <f>H374</f>
        <v>91</v>
      </c>
      <c r="I373" s="55">
        <f>I374</f>
        <v>0</v>
      </c>
      <c r="J373" s="56">
        <f>I373-H373</f>
        <v>-91</v>
      </c>
      <c r="K373" s="55">
        <f t="shared" si="99"/>
        <v>0</v>
      </c>
      <c r="L373" s="55">
        <f t="shared" si="99"/>
        <v>96.17</v>
      </c>
      <c r="M373" s="55">
        <f t="shared" si="99"/>
        <v>0</v>
      </c>
      <c r="N373" s="207">
        <f t="shared" si="99"/>
        <v>134.61</v>
      </c>
      <c r="O373" s="207">
        <f t="shared" si="99"/>
        <v>134.61</v>
      </c>
      <c r="P373" s="261">
        <f t="shared" si="91"/>
        <v>100</v>
      </c>
    </row>
    <row r="374" spans="1:33" s="23" customFormat="1" ht="15">
      <c r="A374" s="6" t="s">
        <v>209</v>
      </c>
      <c r="B374" s="13" t="s">
        <v>166</v>
      </c>
      <c r="C374" s="11" t="s">
        <v>145</v>
      </c>
      <c r="D374" s="11" t="s">
        <v>178</v>
      </c>
      <c r="E374" s="12" t="s">
        <v>241</v>
      </c>
      <c r="F374" s="13" t="s">
        <v>316</v>
      </c>
      <c r="G374" s="34">
        <v>3</v>
      </c>
      <c r="H374" s="55">
        <v>91</v>
      </c>
      <c r="I374" s="55"/>
      <c r="J374" s="56">
        <f>I374-H374</f>
        <v>-91</v>
      </c>
      <c r="K374" s="55"/>
      <c r="L374" s="55">
        <v>96.17</v>
      </c>
      <c r="M374" s="55"/>
      <c r="N374" s="207">
        <v>134.61</v>
      </c>
      <c r="O374" s="207">
        <v>134.61</v>
      </c>
      <c r="P374" s="261">
        <f t="shared" si="91"/>
        <v>100</v>
      </c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</row>
    <row r="375" spans="1:16" ht="32.25" customHeight="1">
      <c r="A375" s="4" t="s">
        <v>67</v>
      </c>
      <c r="B375" s="11" t="s">
        <v>166</v>
      </c>
      <c r="C375" s="11" t="s">
        <v>145</v>
      </c>
      <c r="D375" s="11" t="s">
        <v>173</v>
      </c>
      <c r="E375" s="11">
        <v>0</v>
      </c>
      <c r="F375" s="11"/>
      <c r="G375" s="34"/>
      <c r="H375" s="55" t="e">
        <f>#REF!</f>
        <v>#REF!</v>
      </c>
      <c r="I375" s="55" t="e">
        <f>#REF!+I377</f>
        <v>#REF!</v>
      </c>
      <c r="J375" s="56" t="e">
        <f>I375-H375</f>
        <v>#REF!</v>
      </c>
      <c r="K375" s="55" t="e">
        <f>#REF!+K377</f>
        <v>#REF!</v>
      </c>
      <c r="L375" s="55" t="e">
        <f>#REF!+L377</f>
        <v>#REF!</v>
      </c>
      <c r="M375" s="55" t="e">
        <f>M376</f>
        <v>#REF!</v>
      </c>
      <c r="N375" s="207">
        <f>N376</f>
        <v>1334.5</v>
      </c>
      <c r="O375" s="207">
        <f>O376</f>
        <v>1331.87</v>
      </c>
      <c r="P375" s="261">
        <f t="shared" si="91"/>
        <v>99.80292244286248</v>
      </c>
    </row>
    <row r="376" spans="1:16" ht="32.25" customHeight="1">
      <c r="A376" s="5" t="s">
        <v>7</v>
      </c>
      <c r="B376" s="12" t="s">
        <v>166</v>
      </c>
      <c r="C376" s="11" t="s">
        <v>145</v>
      </c>
      <c r="D376" s="11" t="s">
        <v>173</v>
      </c>
      <c r="E376" s="12" t="s">
        <v>87</v>
      </c>
      <c r="F376" s="12"/>
      <c r="G376" s="34"/>
      <c r="H376" s="55"/>
      <c r="I376" s="55"/>
      <c r="J376" s="56"/>
      <c r="K376" s="55"/>
      <c r="L376" s="55"/>
      <c r="M376" s="55" t="e">
        <f>M377+M381</f>
        <v>#REF!</v>
      </c>
      <c r="N376" s="207">
        <f>N377+N381</f>
        <v>1334.5</v>
      </c>
      <c r="O376" s="207">
        <f>O377+O381</f>
        <v>1331.87</v>
      </c>
      <c r="P376" s="261">
        <f t="shared" si="91"/>
        <v>99.80292244286248</v>
      </c>
    </row>
    <row r="377" spans="1:16" ht="32.25" customHeight="1">
      <c r="A377" s="105" t="s">
        <v>320</v>
      </c>
      <c r="B377" s="11" t="s">
        <v>166</v>
      </c>
      <c r="C377" s="11" t="s">
        <v>145</v>
      </c>
      <c r="D377" s="11" t="s">
        <v>173</v>
      </c>
      <c r="E377" s="11" t="s">
        <v>243</v>
      </c>
      <c r="F377" s="11"/>
      <c r="G377" s="34"/>
      <c r="H377" s="55"/>
      <c r="I377" s="55" t="e">
        <f>#REF!</f>
        <v>#REF!</v>
      </c>
      <c r="J377" s="56" t="e">
        <f>I377-H377</f>
        <v>#REF!</v>
      </c>
      <c r="K377" s="55" t="e">
        <f>#REF!</f>
        <v>#REF!</v>
      </c>
      <c r="L377" s="55" t="e">
        <f>#REF!</f>
        <v>#REF!</v>
      </c>
      <c r="M377" s="55" t="e">
        <f>#REF!+M378</f>
        <v>#REF!</v>
      </c>
      <c r="N377" s="207">
        <f>N378</f>
        <v>98.4</v>
      </c>
      <c r="O377" s="207">
        <f>O378</f>
        <v>96.37</v>
      </c>
      <c r="P377" s="261">
        <f t="shared" si="91"/>
        <v>97.9369918699187</v>
      </c>
    </row>
    <row r="378" spans="1:33" s="68" customFormat="1" ht="42" customHeight="1">
      <c r="A378" s="6" t="s">
        <v>348</v>
      </c>
      <c r="B378" s="11" t="s">
        <v>166</v>
      </c>
      <c r="C378" s="11" t="s">
        <v>145</v>
      </c>
      <c r="D378" s="11" t="s">
        <v>173</v>
      </c>
      <c r="E378" s="11" t="s">
        <v>243</v>
      </c>
      <c r="F378" s="11" t="s">
        <v>347</v>
      </c>
      <c r="G378" s="34"/>
      <c r="H378" s="55"/>
      <c r="I378" s="55"/>
      <c r="J378" s="56"/>
      <c r="K378" s="55"/>
      <c r="L378" s="55"/>
      <c r="M378" s="55">
        <f>M379</f>
        <v>88.6</v>
      </c>
      <c r="N378" s="207">
        <f>N379</f>
        <v>98.4</v>
      </c>
      <c r="O378" s="207">
        <f>O379</f>
        <v>96.37</v>
      </c>
      <c r="P378" s="261">
        <f t="shared" si="91"/>
        <v>97.9369918699187</v>
      </c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</row>
    <row r="379" spans="1:33" s="68" customFormat="1" ht="16.5" customHeight="1">
      <c r="A379" s="6" t="s">
        <v>211</v>
      </c>
      <c r="B379" s="11" t="s">
        <v>166</v>
      </c>
      <c r="C379" s="11" t="s">
        <v>145</v>
      </c>
      <c r="D379" s="11" t="s">
        <v>173</v>
      </c>
      <c r="E379" s="11" t="s">
        <v>243</v>
      </c>
      <c r="F379" s="11" t="s">
        <v>347</v>
      </c>
      <c r="G379" s="34">
        <v>2</v>
      </c>
      <c r="H379" s="55"/>
      <c r="I379" s="55"/>
      <c r="J379" s="56"/>
      <c r="K379" s="55"/>
      <c r="L379" s="55"/>
      <c r="M379" s="55">
        <v>88.6</v>
      </c>
      <c r="N379" s="207">
        <f>81.3+17.1</f>
        <v>98.4</v>
      </c>
      <c r="O379" s="207">
        <v>96.37</v>
      </c>
      <c r="P379" s="261">
        <f t="shared" si="91"/>
        <v>97.9369918699187</v>
      </c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</row>
    <row r="380" spans="1:33" s="68" customFormat="1" ht="27" customHeight="1">
      <c r="A380" s="109" t="s">
        <v>221</v>
      </c>
      <c r="B380" s="11" t="s">
        <v>166</v>
      </c>
      <c r="C380" s="11" t="s">
        <v>145</v>
      </c>
      <c r="D380" s="11" t="s">
        <v>173</v>
      </c>
      <c r="E380" s="12" t="s">
        <v>156</v>
      </c>
      <c r="F380" s="11"/>
      <c r="G380" s="34"/>
      <c r="H380" s="55"/>
      <c r="I380" s="55"/>
      <c r="J380" s="56"/>
      <c r="K380" s="55"/>
      <c r="L380" s="55"/>
      <c r="M380" s="55"/>
      <c r="N380" s="207">
        <f>N381</f>
        <v>1236.1</v>
      </c>
      <c r="O380" s="207">
        <f>O381</f>
        <v>1235.5</v>
      </c>
      <c r="P380" s="261">
        <f t="shared" si="91"/>
        <v>99.95146023784484</v>
      </c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</row>
    <row r="381" spans="1:16" ht="39">
      <c r="A381" s="105" t="s">
        <v>401</v>
      </c>
      <c r="B381" s="12" t="s">
        <v>166</v>
      </c>
      <c r="C381" s="11" t="s">
        <v>145</v>
      </c>
      <c r="D381" s="11" t="s">
        <v>173</v>
      </c>
      <c r="E381" s="37" t="s">
        <v>414</v>
      </c>
      <c r="F381" s="12"/>
      <c r="G381" s="34"/>
      <c r="H381" s="55" t="e">
        <f>#REF!</f>
        <v>#REF!</v>
      </c>
      <c r="I381" s="55" t="e">
        <f>#REF!</f>
        <v>#REF!</v>
      </c>
      <c r="J381" s="56" t="e">
        <f aca="true" t="shared" si="100" ref="J381:J390">I381-H381</f>
        <v>#REF!</v>
      </c>
      <c r="K381" s="55" t="e">
        <f>#REF!</f>
        <v>#REF!</v>
      </c>
      <c r="L381" s="55" t="e">
        <f>#REF!</f>
        <v>#REF!</v>
      </c>
      <c r="M381" s="55" t="e">
        <f>#REF!+M382+M384</f>
        <v>#REF!</v>
      </c>
      <c r="N381" s="207">
        <f>N382+N384</f>
        <v>1236.1</v>
      </c>
      <c r="O381" s="207">
        <f>O382+O384</f>
        <v>1235.5</v>
      </c>
      <c r="P381" s="261">
        <f t="shared" si="91"/>
        <v>99.95146023784484</v>
      </c>
    </row>
    <row r="382" spans="1:33" s="23" customFormat="1" ht="39">
      <c r="A382" s="6" t="s">
        <v>348</v>
      </c>
      <c r="B382" s="11" t="s">
        <v>166</v>
      </c>
      <c r="C382" s="11" t="s">
        <v>145</v>
      </c>
      <c r="D382" s="11" t="s">
        <v>173</v>
      </c>
      <c r="E382" s="13" t="s">
        <v>414</v>
      </c>
      <c r="F382" s="13" t="s">
        <v>347</v>
      </c>
      <c r="G382" s="34"/>
      <c r="H382" s="55"/>
      <c r="I382" s="55"/>
      <c r="J382" s="56"/>
      <c r="K382" s="55"/>
      <c r="L382" s="55"/>
      <c r="M382" s="55">
        <f>M383</f>
        <v>1028.3</v>
      </c>
      <c r="N382" s="207">
        <f>N383</f>
        <v>135</v>
      </c>
      <c r="O382" s="207">
        <f>O383</f>
        <v>134.4</v>
      </c>
      <c r="P382" s="261">
        <f t="shared" si="91"/>
        <v>99.55555555555556</v>
      </c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</row>
    <row r="383" spans="1:33" s="23" customFormat="1" ht="15">
      <c r="A383" s="6" t="s">
        <v>209</v>
      </c>
      <c r="B383" s="11" t="s">
        <v>166</v>
      </c>
      <c r="C383" s="11" t="s">
        <v>145</v>
      </c>
      <c r="D383" s="11" t="s">
        <v>173</v>
      </c>
      <c r="E383" s="37" t="s">
        <v>414</v>
      </c>
      <c r="F383" s="11" t="s">
        <v>347</v>
      </c>
      <c r="G383" s="34">
        <v>3</v>
      </c>
      <c r="H383" s="55"/>
      <c r="I383" s="55"/>
      <c r="J383" s="56"/>
      <c r="K383" s="55"/>
      <c r="L383" s="55"/>
      <c r="M383" s="103">
        <f>738.3+290</f>
        <v>1028.3</v>
      </c>
      <c r="N383" s="207">
        <v>135</v>
      </c>
      <c r="O383" s="207">
        <v>134.4</v>
      </c>
      <c r="P383" s="261">
        <f t="shared" si="91"/>
        <v>99.55555555555556</v>
      </c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</row>
    <row r="384" spans="1:33" s="23" customFormat="1" ht="28.5" customHeight="1">
      <c r="A384" s="6" t="s">
        <v>318</v>
      </c>
      <c r="B384" s="11" t="s">
        <v>166</v>
      </c>
      <c r="C384" s="11" t="s">
        <v>145</v>
      </c>
      <c r="D384" s="11" t="s">
        <v>173</v>
      </c>
      <c r="E384" s="13" t="s">
        <v>414</v>
      </c>
      <c r="F384" s="11" t="s">
        <v>316</v>
      </c>
      <c r="G384" s="34"/>
      <c r="H384" s="55"/>
      <c r="I384" s="55"/>
      <c r="J384" s="56"/>
      <c r="K384" s="55"/>
      <c r="L384" s="55"/>
      <c r="M384" s="55">
        <f>M385</f>
        <v>0</v>
      </c>
      <c r="N384" s="207">
        <f>N385</f>
        <v>1101.1</v>
      </c>
      <c r="O384" s="207">
        <f>O385</f>
        <v>1101.1</v>
      </c>
      <c r="P384" s="261">
        <f t="shared" si="91"/>
        <v>100</v>
      </c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</row>
    <row r="385" spans="1:33" s="23" customFormat="1" ht="15">
      <c r="A385" s="6" t="s">
        <v>209</v>
      </c>
      <c r="B385" s="11" t="s">
        <v>166</v>
      </c>
      <c r="C385" s="11" t="s">
        <v>145</v>
      </c>
      <c r="D385" s="11" t="s">
        <v>173</v>
      </c>
      <c r="E385" s="13" t="s">
        <v>414</v>
      </c>
      <c r="F385" s="11" t="s">
        <v>316</v>
      </c>
      <c r="G385" s="34">
        <v>3</v>
      </c>
      <c r="H385" s="55"/>
      <c r="I385" s="55"/>
      <c r="J385" s="56"/>
      <c r="K385" s="55"/>
      <c r="L385" s="55"/>
      <c r="M385" s="103"/>
      <c r="N385" s="207">
        <v>1101.1</v>
      </c>
      <c r="O385" s="207">
        <v>1101.1</v>
      </c>
      <c r="P385" s="261">
        <f t="shared" si="91"/>
        <v>100</v>
      </c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</row>
    <row r="386" spans="1:16" ht="15">
      <c r="A386" s="4" t="s">
        <v>14</v>
      </c>
      <c r="B386" s="12" t="s">
        <v>166</v>
      </c>
      <c r="C386" s="11" t="s">
        <v>145</v>
      </c>
      <c r="D386" s="11" t="s">
        <v>179</v>
      </c>
      <c r="E386" s="11">
        <v>0</v>
      </c>
      <c r="F386" s="11"/>
      <c r="G386" s="34"/>
      <c r="H386" s="55">
        <f>H387+H395</f>
        <v>4389.4</v>
      </c>
      <c r="I386" s="55">
        <f>I387+I395+I422</f>
        <v>4253</v>
      </c>
      <c r="J386" s="56">
        <f t="shared" si="100"/>
        <v>-136.39999999999964</v>
      </c>
      <c r="K386" s="55" t="e">
        <f>K387+K395+K422+#REF!</f>
        <v>#REF!</v>
      </c>
      <c r="L386" s="55" t="e">
        <f>L387+L395+L422+#REF!</f>
        <v>#REF!</v>
      </c>
      <c r="M386" s="55" t="e">
        <f>M387+M395+M421+M391+#REF!+M410</f>
        <v>#REF!</v>
      </c>
      <c r="N386" s="207">
        <f>N387+N395+N421+N391+N410+N431+N404+N414</f>
        <v>14063.133</v>
      </c>
      <c r="O386" s="207">
        <f>O387+O395+O421+O391+O410+O431+O404+O414</f>
        <v>14063.13208</v>
      </c>
      <c r="P386" s="261">
        <f t="shared" si="91"/>
        <v>99.99999345807224</v>
      </c>
    </row>
    <row r="387" spans="1:16" ht="64.5">
      <c r="A387" s="5" t="s">
        <v>1</v>
      </c>
      <c r="B387" s="12" t="s">
        <v>166</v>
      </c>
      <c r="C387" s="11" t="s">
        <v>145</v>
      </c>
      <c r="D387" s="11" t="s">
        <v>179</v>
      </c>
      <c r="E387" s="12" t="s">
        <v>0</v>
      </c>
      <c r="F387" s="12"/>
      <c r="G387" s="34"/>
      <c r="H387" s="55">
        <f aca="true" t="shared" si="101" ref="H387:I389">H388</f>
        <v>2083</v>
      </c>
      <c r="I387" s="55">
        <f t="shared" si="101"/>
        <v>1968.6</v>
      </c>
      <c r="J387" s="56">
        <f t="shared" si="100"/>
        <v>-114.40000000000009</v>
      </c>
      <c r="K387" s="55">
        <f aca="true" t="shared" si="102" ref="K387:L389">K388</f>
        <v>1968.6</v>
      </c>
      <c r="L387" s="55">
        <f t="shared" si="102"/>
        <v>1968.6</v>
      </c>
      <c r="M387" s="55">
        <f aca="true" t="shared" si="103" ref="M387:O389">M388</f>
        <v>2390.5</v>
      </c>
      <c r="N387" s="207">
        <f t="shared" si="103"/>
        <v>2330.3</v>
      </c>
      <c r="O387" s="207">
        <f t="shared" si="103"/>
        <v>2330.3</v>
      </c>
      <c r="P387" s="261">
        <f t="shared" si="91"/>
        <v>100</v>
      </c>
    </row>
    <row r="388" spans="1:16" ht="15">
      <c r="A388" s="5" t="s">
        <v>86</v>
      </c>
      <c r="B388" s="11" t="s">
        <v>166</v>
      </c>
      <c r="C388" s="11" t="s">
        <v>145</v>
      </c>
      <c r="D388" s="11" t="s">
        <v>179</v>
      </c>
      <c r="E388" s="12" t="s">
        <v>2</v>
      </c>
      <c r="F388" s="12"/>
      <c r="G388" s="34"/>
      <c r="H388" s="55">
        <f t="shared" si="101"/>
        <v>2083</v>
      </c>
      <c r="I388" s="55">
        <f t="shared" si="101"/>
        <v>1968.6</v>
      </c>
      <c r="J388" s="56">
        <f t="shared" si="100"/>
        <v>-114.40000000000009</v>
      </c>
      <c r="K388" s="55">
        <f t="shared" si="102"/>
        <v>1968.6</v>
      </c>
      <c r="L388" s="55">
        <f t="shared" si="102"/>
        <v>1968.6</v>
      </c>
      <c r="M388" s="55">
        <f t="shared" si="103"/>
        <v>2390.5</v>
      </c>
      <c r="N388" s="207">
        <f t="shared" si="103"/>
        <v>2330.3</v>
      </c>
      <c r="O388" s="207">
        <f t="shared" si="103"/>
        <v>2330.3</v>
      </c>
      <c r="P388" s="261">
        <f t="shared" si="91"/>
        <v>100</v>
      </c>
    </row>
    <row r="389" spans="1:16" ht="26.25">
      <c r="A389" s="6" t="s">
        <v>97</v>
      </c>
      <c r="B389" s="12" t="s">
        <v>166</v>
      </c>
      <c r="C389" s="11" t="s">
        <v>145</v>
      </c>
      <c r="D389" s="11" t="s">
        <v>179</v>
      </c>
      <c r="E389" s="12" t="s">
        <v>2</v>
      </c>
      <c r="F389" s="13" t="s">
        <v>323</v>
      </c>
      <c r="G389" s="34"/>
      <c r="H389" s="55">
        <f t="shared" si="101"/>
        <v>2083</v>
      </c>
      <c r="I389" s="55">
        <f t="shared" si="101"/>
        <v>1968.6</v>
      </c>
      <c r="J389" s="56">
        <f t="shared" si="100"/>
        <v>-114.40000000000009</v>
      </c>
      <c r="K389" s="55">
        <f t="shared" si="102"/>
        <v>1968.6</v>
      </c>
      <c r="L389" s="55">
        <f t="shared" si="102"/>
        <v>1968.6</v>
      </c>
      <c r="M389" s="55">
        <f t="shared" si="103"/>
        <v>2390.5</v>
      </c>
      <c r="N389" s="207">
        <f t="shared" si="103"/>
        <v>2330.3</v>
      </c>
      <c r="O389" s="207">
        <f t="shared" si="103"/>
        <v>2330.3</v>
      </c>
      <c r="P389" s="261">
        <f t="shared" si="91"/>
        <v>100</v>
      </c>
    </row>
    <row r="390" spans="1:33" s="23" customFormat="1" ht="15">
      <c r="A390" s="6" t="s">
        <v>209</v>
      </c>
      <c r="B390" s="12" t="s">
        <v>166</v>
      </c>
      <c r="C390" s="11" t="s">
        <v>145</v>
      </c>
      <c r="D390" s="11" t="s">
        <v>179</v>
      </c>
      <c r="E390" s="12" t="s">
        <v>2</v>
      </c>
      <c r="F390" s="13" t="s">
        <v>323</v>
      </c>
      <c r="G390" s="34">
        <v>3</v>
      </c>
      <c r="H390" s="55">
        <v>2083</v>
      </c>
      <c r="I390" s="55">
        <f>2114.6-146</f>
        <v>1968.6</v>
      </c>
      <c r="J390" s="56">
        <f t="shared" si="100"/>
        <v>-114.40000000000009</v>
      </c>
      <c r="K390" s="55">
        <f>2114.6-146</f>
        <v>1968.6</v>
      </c>
      <c r="L390" s="55">
        <f>2114.6-146</f>
        <v>1968.6</v>
      </c>
      <c r="M390" s="103">
        <f>3107.1-69.1-500-197.5-50+100</f>
        <v>2390.5</v>
      </c>
      <c r="N390" s="207">
        <f>2358.3-28</f>
        <v>2330.3</v>
      </c>
      <c r="O390" s="207">
        <f>2358.3-28</f>
        <v>2330.3</v>
      </c>
      <c r="P390" s="261">
        <f t="shared" si="91"/>
        <v>100</v>
      </c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</row>
    <row r="391" spans="1:33" s="23" customFormat="1" ht="39">
      <c r="A391" s="105" t="s">
        <v>338</v>
      </c>
      <c r="B391" s="12" t="s">
        <v>166</v>
      </c>
      <c r="C391" s="11" t="s">
        <v>145</v>
      </c>
      <c r="D391" s="11" t="s">
        <v>179</v>
      </c>
      <c r="E391" s="37" t="s">
        <v>337</v>
      </c>
      <c r="F391" s="12"/>
      <c r="G391" s="34"/>
      <c r="H391" s="55"/>
      <c r="I391" s="55"/>
      <c r="J391" s="56"/>
      <c r="K391" s="55"/>
      <c r="L391" s="55"/>
      <c r="M391" s="55">
        <f aca="true" t="shared" si="104" ref="M391:O393">M392</f>
        <v>0</v>
      </c>
      <c r="N391" s="207">
        <f t="shared" si="104"/>
        <v>0</v>
      </c>
      <c r="O391" s="207">
        <f t="shared" si="104"/>
        <v>0</v>
      </c>
      <c r="P391" s="261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</row>
    <row r="392" spans="1:33" s="23" customFormat="1" ht="39">
      <c r="A392" s="105" t="s">
        <v>288</v>
      </c>
      <c r="B392" s="11" t="s">
        <v>166</v>
      </c>
      <c r="C392" s="11" t="s">
        <v>145</v>
      </c>
      <c r="D392" s="11" t="s">
        <v>179</v>
      </c>
      <c r="E392" s="37" t="s">
        <v>287</v>
      </c>
      <c r="F392" s="12"/>
      <c r="G392" s="34"/>
      <c r="H392" s="55"/>
      <c r="I392" s="55"/>
      <c r="J392" s="56"/>
      <c r="K392" s="55"/>
      <c r="L392" s="55"/>
      <c r="M392" s="55">
        <f t="shared" si="104"/>
        <v>0</v>
      </c>
      <c r="N392" s="207">
        <f t="shared" si="104"/>
        <v>0</v>
      </c>
      <c r="O392" s="207">
        <f t="shared" si="104"/>
        <v>0</v>
      </c>
      <c r="P392" s="261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</row>
    <row r="393" spans="1:33" s="23" customFormat="1" ht="15">
      <c r="A393" s="6" t="s">
        <v>339</v>
      </c>
      <c r="B393" s="12" t="s">
        <v>166</v>
      </c>
      <c r="C393" s="11" t="s">
        <v>145</v>
      </c>
      <c r="D393" s="11" t="s">
        <v>179</v>
      </c>
      <c r="E393" s="37" t="s">
        <v>287</v>
      </c>
      <c r="F393" s="13" t="s">
        <v>20</v>
      </c>
      <c r="G393" s="34"/>
      <c r="H393" s="55"/>
      <c r="I393" s="55"/>
      <c r="J393" s="56"/>
      <c r="K393" s="55"/>
      <c r="L393" s="55"/>
      <c r="M393" s="55">
        <f t="shared" si="104"/>
        <v>0</v>
      </c>
      <c r="N393" s="207">
        <f t="shared" si="104"/>
        <v>0</v>
      </c>
      <c r="O393" s="207">
        <f t="shared" si="104"/>
        <v>0</v>
      </c>
      <c r="P393" s="261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</row>
    <row r="394" spans="1:33" s="23" customFormat="1" ht="15">
      <c r="A394" s="6" t="s">
        <v>209</v>
      </c>
      <c r="B394" s="12" t="s">
        <v>166</v>
      </c>
      <c r="C394" s="11" t="s">
        <v>145</v>
      </c>
      <c r="D394" s="11" t="s">
        <v>179</v>
      </c>
      <c r="E394" s="37" t="s">
        <v>287</v>
      </c>
      <c r="F394" s="13" t="s">
        <v>20</v>
      </c>
      <c r="G394" s="34">
        <v>3</v>
      </c>
      <c r="H394" s="55"/>
      <c r="I394" s="55"/>
      <c r="J394" s="56"/>
      <c r="K394" s="55"/>
      <c r="L394" s="55"/>
      <c r="M394" s="55"/>
      <c r="N394" s="207"/>
      <c r="O394" s="207"/>
      <c r="P394" s="261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</row>
    <row r="395" spans="1:16" ht="77.25">
      <c r="A395" s="105" t="s">
        <v>8</v>
      </c>
      <c r="B395" s="12" t="s">
        <v>166</v>
      </c>
      <c r="C395" s="11" t="s">
        <v>145</v>
      </c>
      <c r="D395" s="11" t="s">
        <v>179</v>
      </c>
      <c r="E395" s="12" t="s">
        <v>9</v>
      </c>
      <c r="F395" s="12"/>
      <c r="G395" s="9"/>
      <c r="H395" s="55">
        <f>H399</f>
        <v>2306.4</v>
      </c>
      <c r="I395" s="55">
        <f>I399</f>
        <v>2284.4</v>
      </c>
      <c r="J395" s="56">
        <f aca="true" t="shared" si="105" ref="J395:J401">I395-H395</f>
        <v>-22</v>
      </c>
      <c r="K395" s="55">
        <f>K399</f>
        <v>2284.4</v>
      </c>
      <c r="L395" s="55">
        <f>L399</f>
        <v>2284.4</v>
      </c>
      <c r="M395" s="55">
        <f>M399+M396</f>
        <v>2687.3000000000006</v>
      </c>
      <c r="N395" s="207">
        <f>N399+N396</f>
        <v>2227.6409999999996</v>
      </c>
      <c r="O395" s="207">
        <f>O399+O396</f>
        <v>2227.6409999999996</v>
      </c>
      <c r="P395" s="261">
        <f t="shared" si="91"/>
        <v>100</v>
      </c>
    </row>
    <row r="396" spans="1:16" ht="26.25">
      <c r="A396" s="105" t="s">
        <v>373</v>
      </c>
      <c r="B396" s="12" t="s">
        <v>166</v>
      </c>
      <c r="C396" s="11" t="s">
        <v>145</v>
      </c>
      <c r="D396" s="11" t="s">
        <v>179</v>
      </c>
      <c r="E396" s="37" t="s">
        <v>372</v>
      </c>
      <c r="F396" s="12"/>
      <c r="G396" s="9"/>
      <c r="H396" s="55"/>
      <c r="I396" s="55"/>
      <c r="J396" s="56"/>
      <c r="K396" s="55"/>
      <c r="L396" s="55"/>
      <c r="M396" s="55">
        <f aca="true" t="shared" si="106" ref="M396:O397">M397</f>
        <v>1763.9</v>
      </c>
      <c r="N396" s="207">
        <f t="shared" si="106"/>
        <v>2227.6409999999996</v>
      </c>
      <c r="O396" s="207">
        <f t="shared" si="106"/>
        <v>2227.6409999999996</v>
      </c>
      <c r="P396" s="261">
        <f aca="true" t="shared" si="107" ref="P396:P459">O396/N396*100</f>
        <v>100</v>
      </c>
    </row>
    <row r="397" spans="1:16" ht="26.25">
      <c r="A397" s="6" t="s">
        <v>97</v>
      </c>
      <c r="B397" s="12" t="s">
        <v>166</v>
      </c>
      <c r="C397" s="11" t="s">
        <v>145</v>
      </c>
      <c r="D397" s="11" t="s">
        <v>179</v>
      </c>
      <c r="E397" s="37" t="s">
        <v>372</v>
      </c>
      <c r="F397" s="37" t="s">
        <v>323</v>
      </c>
      <c r="G397" s="9"/>
      <c r="H397" s="55"/>
      <c r="I397" s="55"/>
      <c r="J397" s="56"/>
      <c r="K397" s="55"/>
      <c r="L397" s="55"/>
      <c r="M397" s="55">
        <f t="shared" si="106"/>
        <v>1763.9</v>
      </c>
      <c r="N397" s="207">
        <f t="shared" si="106"/>
        <v>2227.6409999999996</v>
      </c>
      <c r="O397" s="207">
        <f t="shared" si="106"/>
        <v>2227.6409999999996</v>
      </c>
      <c r="P397" s="261">
        <f t="shared" si="107"/>
        <v>100</v>
      </c>
    </row>
    <row r="398" spans="1:16" ht="15">
      <c r="A398" s="109" t="s">
        <v>209</v>
      </c>
      <c r="B398" s="12" t="s">
        <v>166</v>
      </c>
      <c r="C398" s="11" t="s">
        <v>145</v>
      </c>
      <c r="D398" s="11" t="s">
        <v>179</v>
      </c>
      <c r="E398" s="37" t="s">
        <v>372</v>
      </c>
      <c r="F398" s="37" t="s">
        <v>323</v>
      </c>
      <c r="G398" s="119">
        <v>3</v>
      </c>
      <c r="H398" s="55"/>
      <c r="I398" s="55"/>
      <c r="J398" s="56"/>
      <c r="K398" s="55"/>
      <c r="L398" s="55"/>
      <c r="M398" s="55">
        <f>30.7+2011.3-278.1</f>
        <v>1763.9</v>
      </c>
      <c r="N398" s="207">
        <f>2050.2-50+227.441</f>
        <v>2227.6409999999996</v>
      </c>
      <c r="O398" s="207">
        <f>2050.2-50+227.441</f>
        <v>2227.6409999999996</v>
      </c>
      <c r="P398" s="261">
        <f t="shared" si="107"/>
        <v>100</v>
      </c>
    </row>
    <row r="399" spans="1:16" ht="26.25">
      <c r="A399" s="105" t="s">
        <v>343</v>
      </c>
      <c r="B399" s="11" t="s">
        <v>166</v>
      </c>
      <c r="C399" s="11" t="s">
        <v>145</v>
      </c>
      <c r="D399" s="11" t="s">
        <v>179</v>
      </c>
      <c r="E399" s="12" t="s">
        <v>80</v>
      </c>
      <c r="F399" s="12"/>
      <c r="G399" s="9"/>
      <c r="H399" s="55">
        <f>H400</f>
        <v>2306.4</v>
      </c>
      <c r="I399" s="55">
        <f>I400</f>
        <v>2284.4</v>
      </c>
      <c r="J399" s="56">
        <f t="shared" si="105"/>
        <v>-22</v>
      </c>
      <c r="K399" s="55">
        <f>K400</f>
        <v>2284.4</v>
      </c>
      <c r="L399" s="55">
        <f>L400</f>
        <v>2284.4</v>
      </c>
      <c r="M399" s="55">
        <f>M400+M402</f>
        <v>923.4000000000004</v>
      </c>
      <c r="N399" s="207">
        <f>N400+N402</f>
        <v>0</v>
      </c>
      <c r="O399" s="207">
        <f>O400+O402</f>
        <v>0</v>
      </c>
      <c r="P399" s="261"/>
    </row>
    <row r="400" spans="1:16" ht="64.5">
      <c r="A400" s="6" t="s">
        <v>319</v>
      </c>
      <c r="B400" s="37" t="s">
        <v>166</v>
      </c>
      <c r="C400" s="11" t="s">
        <v>145</v>
      </c>
      <c r="D400" s="11" t="s">
        <v>179</v>
      </c>
      <c r="E400" s="12" t="s">
        <v>80</v>
      </c>
      <c r="F400" s="13" t="s">
        <v>315</v>
      </c>
      <c r="G400" s="34"/>
      <c r="H400" s="55">
        <f>H401</f>
        <v>2306.4</v>
      </c>
      <c r="I400" s="55">
        <f>I401</f>
        <v>2284.4</v>
      </c>
      <c r="J400" s="56">
        <f t="shared" si="105"/>
        <v>-22</v>
      </c>
      <c r="K400" s="55">
        <f>K401</f>
        <v>2284.4</v>
      </c>
      <c r="L400" s="55">
        <f>L401</f>
        <v>2284.4</v>
      </c>
      <c r="M400" s="55">
        <f>M401</f>
        <v>913.4000000000004</v>
      </c>
      <c r="N400" s="207">
        <f>N401</f>
        <v>0</v>
      </c>
      <c r="O400" s="207">
        <f>O401</f>
        <v>0</v>
      </c>
      <c r="P400" s="261"/>
    </row>
    <row r="401" spans="1:33" s="23" customFormat="1" ht="15">
      <c r="A401" s="109" t="s">
        <v>209</v>
      </c>
      <c r="B401" s="12" t="s">
        <v>166</v>
      </c>
      <c r="C401" s="11" t="s">
        <v>145</v>
      </c>
      <c r="D401" s="11" t="s">
        <v>179</v>
      </c>
      <c r="E401" s="12" t="s">
        <v>80</v>
      </c>
      <c r="F401" s="13" t="s">
        <v>315</v>
      </c>
      <c r="G401" s="34">
        <v>3</v>
      </c>
      <c r="H401" s="55">
        <v>2306.4</v>
      </c>
      <c r="I401" s="55">
        <v>2284.4</v>
      </c>
      <c r="J401" s="56">
        <f t="shared" si="105"/>
        <v>-22</v>
      </c>
      <c r="K401" s="55">
        <v>2284.4</v>
      </c>
      <c r="L401" s="55">
        <v>2284.4</v>
      </c>
      <c r="M401" s="103">
        <f>3031-248.7-50-45-10.7-30-2011.3+278.1</f>
        <v>913.4000000000004</v>
      </c>
      <c r="N401" s="207"/>
      <c r="O401" s="207"/>
      <c r="P401" s="261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</row>
    <row r="402" spans="1:33" s="23" customFormat="1" ht="26.25">
      <c r="A402" s="6" t="s">
        <v>318</v>
      </c>
      <c r="B402" s="12" t="s">
        <v>166</v>
      </c>
      <c r="C402" s="11" t="s">
        <v>145</v>
      </c>
      <c r="D402" s="11" t="s">
        <v>179</v>
      </c>
      <c r="E402" s="12" t="s">
        <v>80</v>
      </c>
      <c r="F402" s="13" t="s">
        <v>316</v>
      </c>
      <c r="G402" s="34"/>
      <c r="H402" s="55"/>
      <c r="I402" s="55"/>
      <c r="J402" s="56"/>
      <c r="K402" s="55"/>
      <c r="L402" s="55"/>
      <c r="M402" s="55">
        <f>M403</f>
        <v>10.000000000000004</v>
      </c>
      <c r="N402" s="207">
        <f>N403</f>
        <v>0</v>
      </c>
      <c r="O402" s="207">
        <f>O403</f>
        <v>0</v>
      </c>
      <c r="P402" s="261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</row>
    <row r="403" spans="1:33" s="23" customFormat="1" ht="15">
      <c r="A403" s="109" t="s">
        <v>209</v>
      </c>
      <c r="B403" s="12" t="s">
        <v>166</v>
      </c>
      <c r="C403" s="11" t="s">
        <v>145</v>
      </c>
      <c r="D403" s="11" t="s">
        <v>179</v>
      </c>
      <c r="E403" s="12" t="s">
        <v>80</v>
      </c>
      <c r="F403" s="13" t="s">
        <v>316</v>
      </c>
      <c r="G403" s="34">
        <v>3</v>
      </c>
      <c r="H403" s="55"/>
      <c r="I403" s="55"/>
      <c r="J403" s="56"/>
      <c r="K403" s="55"/>
      <c r="L403" s="55"/>
      <c r="M403" s="103">
        <f>10.7+30-30.7</f>
        <v>10.000000000000004</v>
      </c>
      <c r="N403" s="207"/>
      <c r="O403" s="207"/>
      <c r="P403" s="261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</row>
    <row r="404" spans="1:33" s="23" customFormat="1" ht="39">
      <c r="A404" s="118" t="s">
        <v>423</v>
      </c>
      <c r="B404" s="11" t="s">
        <v>166</v>
      </c>
      <c r="C404" s="11" t="s">
        <v>145</v>
      </c>
      <c r="D404" s="11" t="s">
        <v>179</v>
      </c>
      <c r="E404" s="37" t="s">
        <v>424</v>
      </c>
      <c r="F404" s="13"/>
      <c r="G404" s="34"/>
      <c r="H404" s="55"/>
      <c r="I404" s="55"/>
      <c r="J404" s="56"/>
      <c r="K404" s="55"/>
      <c r="L404" s="55"/>
      <c r="M404" s="103"/>
      <c r="N404" s="207">
        <f>N405</f>
        <v>1372.9</v>
      </c>
      <c r="O404" s="207">
        <f>O405</f>
        <v>1372.9</v>
      </c>
      <c r="P404" s="261">
        <f t="shared" si="107"/>
        <v>100</v>
      </c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</row>
    <row r="405" spans="1:33" s="23" customFormat="1" ht="26.25">
      <c r="A405" s="105" t="s">
        <v>343</v>
      </c>
      <c r="B405" s="37" t="s">
        <v>166</v>
      </c>
      <c r="C405" s="11" t="s">
        <v>145</v>
      </c>
      <c r="D405" s="11" t="s">
        <v>179</v>
      </c>
      <c r="E405" s="37" t="s">
        <v>425</v>
      </c>
      <c r="F405" s="13"/>
      <c r="G405" s="34"/>
      <c r="H405" s="55"/>
      <c r="I405" s="55"/>
      <c r="J405" s="56"/>
      <c r="K405" s="55"/>
      <c r="L405" s="55"/>
      <c r="M405" s="103"/>
      <c r="N405" s="207">
        <f>N406+N408</f>
        <v>1372.9</v>
      </c>
      <c r="O405" s="207">
        <f>O406+O408</f>
        <v>1372.9</v>
      </c>
      <c r="P405" s="261">
        <f t="shared" si="107"/>
        <v>100</v>
      </c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</row>
    <row r="406" spans="1:33" s="23" customFormat="1" ht="64.5">
      <c r="A406" s="6" t="s">
        <v>319</v>
      </c>
      <c r="B406" s="12" t="s">
        <v>166</v>
      </c>
      <c r="C406" s="11" t="s">
        <v>145</v>
      </c>
      <c r="D406" s="11" t="s">
        <v>179</v>
      </c>
      <c r="E406" s="37" t="s">
        <v>425</v>
      </c>
      <c r="F406" s="13" t="s">
        <v>315</v>
      </c>
      <c r="G406" s="34"/>
      <c r="H406" s="55"/>
      <c r="I406" s="55"/>
      <c r="J406" s="56"/>
      <c r="K406" s="55"/>
      <c r="L406" s="55"/>
      <c r="M406" s="103"/>
      <c r="N406" s="207">
        <f>N407</f>
        <v>1347.9</v>
      </c>
      <c r="O406" s="207">
        <f>O407</f>
        <v>1347.9</v>
      </c>
      <c r="P406" s="261">
        <f t="shared" si="107"/>
        <v>100</v>
      </c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</row>
    <row r="407" spans="1:33" s="23" customFormat="1" ht="15">
      <c r="A407" s="109" t="s">
        <v>209</v>
      </c>
      <c r="B407" s="12" t="s">
        <v>166</v>
      </c>
      <c r="C407" s="11" t="s">
        <v>145</v>
      </c>
      <c r="D407" s="11" t="s">
        <v>179</v>
      </c>
      <c r="E407" s="37" t="s">
        <v>425</v>
      </c>
      <c r="F407" s="13" t="s">
        <v>315</v>
      </c>
      <c r="G407" s="34">
        <v>3</v>
      </c>
      <c r="H407" s="55"/>
      <c r="I407" s="55"/>
      <c r="J407" s="56"/>
      <c r="K407" s="55"/>
      <c r="L407" s="55"/>
      <c r="M407" s="103"/>
      <c r="N407" s="207">
        <v>1347.9</v>
      </c>
      <c r="O407" s="207">
        <v>1347.9</v>
      </c>
      <c r="P407" s="261">
        <f t="shared" si="107"/>
        <v>100</v>
      </c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</row>
    <row r="408" spans="1:33" s="23" customFormat="1" ht="26.25">
      <c r="A408" s="6" t="s">
        <v>318</v>
      </c>
      <c r="B408" s="12" t="s">
        <v>166</v>
      </c>
      <c r="C408" s="11" t="s">
        <v>145</v>
      </c>
      <c r="D408" s="11" t="s">
        <v>179</v>
      </c>
      <c r="E408" s="37" t="s">
        <v>425</v>
      </c>
      <c r="F408" s="13" t="s">
        <v>316</v>
      </c>
      <c r="G408" s="34"/>
      <c r="H408" s="55"/>
      <c r="I408" s="55"/>
      <c r="J408" s="56"/>
      <c r="K408" s="55"/>
      <c r="L408" s="55"/>
      <c r="M408" s="103"/>
      <c r="N408" s="207">
        <f>N409</f>
        <v>25</v>
      </c>
      <c r="O408" s="207">
        <f>O409</f>
        <v>25</v>
      </c>
      <c r="P408" s="261">
        <f t="shared" si="107"/>
        <v>100</v>
      </c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</row>
    <row r="409" spans="1:33" s="23" customFormat="1" ht="15">
      <c r="A409" s="109" t="s">
        <v>209</v>
      </c>
      <c r="B409" s="12" t="s">
        <v>166</v>
      </c>
      <c r="C409" s="11" t="s">
        <v>145</v>
      </c>
      <c r="D409" s="11" t="s">
        <v>179</v>
      </c>
      <c r="E409" s="37" t="s">
        <v>425</v>
      </c>
      <c r="F409" s="13" t="s">
        <v>316</v>
      </c>
      <c r="G409" s="34">
        <v>3</v>
      </c>
      <c r="H409" s="55"/>
      <c r="I409" s="55"/>
      <c r="J409" s="56"/>
      <c r="K409" s="55"/>
      <c r="L409" s="55"/>
      <c r="M409" s="103"/>
      <c r="N409" s="207">
        <v>25</v>
      </c>
      <c r="O409" s="207">
        <v>25</v>
      </c>
      <c r="P409" s="261">
        <f t="shared" si="107"/>
        <v>100</v>
      </c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</row>
    <row r="410" spans="1:33" s="23" customFormat="1" ht="15">
      <c r="A410" s="120" t="s">
        <v>101</v>
      </c>
      <c r="B410" s="12" t="s">
        <v>166</v>
      </c>
      <c r="C410" s="11" t="s">
        <v>145</v>
      </c>
      <c r="D410" s="11" t="s">
        <v>179</v>
      </c>
      <c r="E410" s="37" t="s">
        <v>102</v>
      </c>
      <c r="F410" s="13"/>
      <c r="G410" s="34"/>
      <c r="H410" s="55"/>
      <c r="I410" s="55"/>
      <c r="J410" s="56"/>
      <c r="K410" s="55"/>
      <c r="L410" s="55"/>
      <c r="M410" s="55">
        <f>M412</f>
        <v>0</v>
      </c>
      <c r="N410" s="207">
        <f aca="true" t="shared" si="108" ref="N410:O412">N411</f>
        <v>13.5</v>
      </c>
      <c r="O410" s="207">
        <f t="shared" si="108"/>
        <v>13.5</v>
      </c>
      <c r="P410" s="261">
        <f t="shared" si="107"/>
        <v>100</v>
      </c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</row>
    <row r="411" spans="1:33" s="23" customFormat="1" ht="39">
      <c r="A411" s="145" t="s">
        <v>387</v>
      </c>
      <c r="B411" s="12" t="s">
        <v>166</v>
      </c>
      <c r="C411" s="11" t="s">
        <v>145</v>
      </c>
      <c r="D411" s="11" t="s">
        <v>179</v>
      </c>
      <c r="E411" s="37" t="s">
        <v>386</v>
      </c>
      <c r="F411" s="13"/>
      <c r="G411" s="34"/>
      <c r="H411" s="55"/>
      <c r="I411" s="55"/>
      <c r="J411" s="56"/>
      <c r="K411" s="55"/>
      <c r="L411" s="55"/>
      <c r="M411" s="55"/>
      <c r="N411" s="207">
        <f t="shared" si="108"/>
        <v>13.5</v>
      </c>
      <c r="O411" s="207">
        <f t="shared" si="108"/>
        <v>13.5</v>
      </c>
      <c r="P411" s="261">
        <f t="shared" si="107"/>
        <v>100</v>
      </c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</row>
    <row r="412" spans="1:33" s="23" customFormat="1" ht="26.25">
      <c r="A412" s="6" t="s">
        <v>318</v>
      </c>
      <c r="B412" s="12" t="s">
        <v>166</v>
      </c>
      <c r="C412" s="11" t="s">
        <v>145</v>
      </c>
      <c r="D412" s="11" t="s">
        <v>179</v>
      </c>
      <c r="E412" s="37" t="s">
        <v>386</v>
      </c>
      <c r="F412" s="13" t="s">
        <v>316</v>
      </c>
      <c r="G412" s="34"/>
      <c r="H412" s="55"/>
      <c r="I412" s="55"/>
      <c r="J412" s="56"/>
      <c r="K412" s="55"/>
      <c r="L412" s="55"/>
      <c r="M412" s="55">
        <f>M413</f>
        <v>0</v>
      </c>
      <c r="N412" s="207">
        <f t="shared" si="108"/>
        <v>13.5</v>
      </c>
      <c r="O412" s="207">
        <f t="shared" si="108"/>
        <v>13.5</v>
      </c>
      <c r="P412" s="261">
        <f t="shared" si="107"/>
        <v>100</v>
      </c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</row>
    <row r="413" spans="1:33" s="23" customFormat="1" ht="15">
      <c r="A413" s="6" t="s">
        <v>211</v>
      </c>
      <c r="B413" s="12" t="s">
        <v>166</v>
      </c>
      <c r="C413" s="11" t="s">
        <v>145</v>
      </c>
      <c r="D413" s="11" t="s">
        <v>179</v>
      </c>
      <c r="E413" s="37" t="s">
        <v>386</v>
      </c>
      <c r="F413" s="13" t="s">
        <v>316</v>
      </c>
      <c r="G413" s="34">
        <v>2</v>
      </c>
      <c r="H413" s="55"/>
      <c r="I413" s="55"/>
      <c r="J413" s="56"/>
      <c r="K413" s="55"/>
      <c r="L413" s="55"/>
      <c r="M413" s="55"/>
      <c r="N413" s="207">
        <v>13.5</v>
      </c>
      <c r="O413" s="207">
        <v>13.5</v>
      </c>
      <c r="P413" s="261">
        <f t="shared" si="107"/>
        <v>100</v>
      </c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</row>
    <row r="414" spans="1:33" s="23" customFormat="1" ht="55.5" customHeight="1">
      <c r="A414" s="147" t="s">
        <v>427</v>
      </c>
      <c r="B414" s="12" t="s">
        <v>166</v>
      </c>
      <c r="C414" s="148" t="s">
        <v>145</v>
      </c>
      <c r="D414" s="148" t="s">
        <v>179</v>
      </c>
      <c r="E414" s="149" t="s">
        <v>368</v>
      </c>
      <c r="F414" s="13"/>
      <c r="G414" s="34"/>
      <c r="H414" s="55"/>
      <c r="I414" s="55"/>
      <c r="J414" s="56"/>
      <c r="K414" s="55"/>
      <c r="L414" s="55"/>
      <c r="M414" s="55"/>
      <c r="N414" s="207">
        <f aca="true" t="shared" si="109" ref="N414:O416">N415</f>
        <v>5159.831</v>
      </c>
      <c r="O414" s="207">
        <f t="shared" si="109"/>
        <v>5159.83008</v>
      </c>
      <c r="P414" s="261">
        <f t="shared" si="107"/>
        <v>99.99998216995866</v>
      </c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</row>
    <row r="415" spans="1:33" s="23" customFormat="1" ht="39">
      <c r="A415" s="147" t="s">
        <v>371</v>
      </c>
      <c r="B415" s="12" t="s">
        <v>166</v>
      </c>
      <c r="C415" s="148" t="s">
        <v>145</v>
      </c>
      <c r="D415" s="148" t="s">
        <v>179</v>
      </c>
      <c r="E415" s="149" t="s">
        <v>369</v>
      </c>
      <c r="F415" s="13"/>
      <c r="G415" s="34"/>
      <c r="H415" s="55"/>
      <c r="I415" s="55"/>
      <c r="J415" s="56"/>
      <c r="K415" s="55"/>
      <c r="L415" s="55"/>
      <c r="M415" s="55"/>
      <c r="N415" s="207">
        <f t="shared" si="109"/>
        <v>5159.831</v>
      </c>
      <c r="O415" s="207">
        <f t="shared" si="109"/>
        <v>5159.83008</v>
      </c>
      <c r="P415" s="261">
        <f t="shared" si="107"/>
        <v>99.99998216995866</v>
      </c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</row>
    <row r="416" spans="1:33" s="23" customFormat="1" ht="39">
      <c r="A416" s="147" t="s">
        <v>426</v>
      </c>
      <c r="B416" s="12" t="s">
        <v>166</v>
      </c>
      <c r="C416" s="148" t="s">
        <v>145</v>
      </c>
      <c r="D416" s="148" t="s">
        <v>179</v>
      </c>
      <c r="E416" s="149" t="s">
        <v>370</v>
      </c>
      <c r="F416" s="13"/>
      <c r="G416" s="34"/>
      <c r="H416" s="55"/>
      <c r="I416" s="55"/>
      <c r="J416" s="56"/>
      <c r="K416" s="55"/>
      <c r="L416" s="55"/>
      <c r="M416" s="55"/>
      <c r="N416" s="207">
        <f t="shared" si="109"/>
        <v>5159.831</v>
      </c>
      <c r="O416" s="207">
        <f t="shared" si="109"/>
        <v>5159.83008</v>
      </c>
      <c r="P416" s="261">
        <f t="shared" si="107"/>
        <v>99.99998216995866</v>
      </c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</row>
    <row r="417" spans="1:33" s="23" customFormat="1" ht="26.25">
      <c r="A417" s="6" t="s">
        <v>318</v>
      </c>
      <c r="B417" s="12" t="s">
        <v>166</v>
      </c>
      <c r="C417" s="148" t="s">
        <v>145</v>
      </c>
      <c r="D417" s="148" t="s">
        <v>179</v>
      </c>
      <c r="E417" s="149" t="s">
        <v>370</v>
      </c>
      <c r="F417" s="13" t="s">
        <v>316</v>
      </c>
      <c r="G417" s="34"/>
      <c r="H417" s="55"/>
      <c r="I417" s="55"/>
      <c r="J417" s="56"/>
      <c r="K417" s="55"/>
      <c r="L417" s="55"/>
      <c r="M417" s="55"/>
      <c r="N417" s="207">
        <f>N419+N420+N418</f>
        <v>5159.831</v>
      </c>
      <c r="O417" s="207">
        <f>O419+O420+O418</f>
        <v>5159.83008</v>
      </c>
      <c r="P417" s="261">
        <f t="shared" si="107"/>
        <v>99.99998216995866</v>
      </c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</row>
    <row r="418" spans="1:33" s="23" customFormat="1" ht="15">
      <c r="A418" s="109" t="s">
        <v>210</v>
      </c>
      <c r="B418" s="12" t="s">
        <v>166</v>
      </c>
      <c r="C418" s="148" t="s">
        <v>145</v>
      </c>
      <c r="D418" s="148" t="s">
        <v>179</v>
      </c>
      <c r="E418" s="149" t="s">
        <v>370</v>
      </c>
      <c r="F418" s="13" t="s">
        <v>316</v>
      </c>
      <c r="G418" s="34">
        <v>1</v>
      </c>
      <c r="H418" s="55"/>
      <c r="I418" s="55"/>
      <c r="J418" s="56"/>
      <c r="K418" s="55"/>
      <c r="L418" s="55"/>
      <c r="M418" s="55"/>
      <c r="N418" s="207"/>
      <c r="O418" s="207"/>
      <c r="P418" s="261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</row>
    <row r="419" spans="1:33" s="23" customFormat="1" ht="15">
      <c r="A419" s="6" t="s">
        <v>211</v>
      </c>
      <c r="B419" s="12" t="s">
        <v>166</v>
      </c>
      <c r="C419" s="148" t="s">
        <v>145</v>
      </c>
      <c r="D419" s="148" t="s">
        <v>179</v>
      </c>
      <c r="E419" s="149" t="s">
        <v>370</v>
      </c>
      <c r="F419" s="13" t="s">
        <v>316</v>
      </c>
      <c r="G419" s="34">
        <v>2</v>
      </c>
      <c r="H419" s="55"/>
      <c r="I419" s="55"/>
      <c r="J419" s="56"/>
      <c r="K419" s="55"/>
      <c r="L419" s="55"/>
      <c r="M419" s="55"/>
      <c r="N419" s="207">
        <f>5000-356</f>
        <v>4644</v>
      </c>
      <c r="O419" s="207">
        <f>5000-356</f>
        <v>4644</v>
      </c>
      <c r="P419" s="261">
        <f t="shared" si="107"/>
        <v>100</v>
      </c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</row>
    <row r="420" spans="1:33" s="23" customFormat="1" ht="15">
      <c r="A420" s="6" t="s">
        <v>209</v>
      </c>
      <c r="B420" s="12" t="s">
        <v>166</v>
      </c>
      <c r="C420" s="148" t="s">
        <v>145</v>
      </c>
      <c r="D420" s="148" t="s">
        <v>179</v>
      </c>
      <c r="E420" s="149" t="s">
        <v>370</v>
      </c>
      <c r="F420" s="13" t="s">
        <v>316</v>
      </c>
      <c r="G420" s="34">
        <v>3</v>
      </c>
      <c r="H420" s="55"/>
      <c r="I420" s="55"/>
      <c r="J420" s="56"/>
      <c r="K420" s="55"/>
      <c r="L420" s="55"/>
      <c r="M420" s="55"/>
      <c r="N420" s="225">
        <f>250+939-839+184.1-18.269</f>
        <v>515.831</v>
      </c>
      <c r="O420" s="225">
        <v>515.83008</v>
      </c>
      <c r="P420" s="261">
        <f t="shared" si="107"/>
        <v>99.99982164701228</v>
      </c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</row>
    <row r="421" spans="1:33" s="23" customFormat="1" ht="26.25">
      <c r="A421" s="51" t="s">
        <v>221</v>
      </c>
      <c r="B421" s="12" t="s">
        <v>166</v>
      </c>
      <c r="C421" s="11" t="s">
        <v>145</v>
      </c>
      <c r="D421" s="11" t="s">
        <v>179</v>
      </c>
      <c r="E421" s="12" t="s">
        <v>156</v>
      </c>
      <c r="F421" s="13"/>
      <c r="G421" s="34"/>
      <c r="H421" s="55"/>
      <c r="I421" s="55"/>
      <c r="J421" s="56"/>
      <c r="K421" s="55"/>
      <c r="L421" s="55"/>
      <c r="M421" s="55">
        <f aca="true" t="shared" si="110" ref="M421:O423">M422</f>
        <v>2500</v>
      </c>
      <c r="N421" s="207">
        <f>N422+N425+N428</f>
        <v>2958.961</v>
      </c>
      <c r="O421" s="207">
        <f>O422+O425+O428</f>
        <v>2958.961</v>
      </c>
      <c r="P421" s="261">
        <f t="shared" si="107"/>
        <v>100</v>
      </c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</row>
    <row r="422" spans="1:16" ht="39" customHeight="1">
      <c r="A422" s="105" t="s">
        <v>340</v>
      </c>
      <c r="B422" s="12" t="s">
        <v>166</v>
      </c>
      <c r="C422" s="11" t="s">
        <v>145</v>
      </c>
      <c r="D422" s="11" t="s">
        <v>179</v>
      </c>
      <c r="E422" s="39">
        <v>7950012</v>
      </c>
      <c r="F422" s="13"/>
      <c r="G422" s="34"/>
      <c r="H422" s="55"/>
      <c r="I422" s="55">
        <f>I423</f>
        <v>0</v>
      </c>
      <c r="J422" s="56"/>
      <c r="K422" s="55">
        <f>K423</f>
        <v>0</v>
      </c>
      <c r="L422" s="55">
        <f>L423</f>
        <v>0</v>
      </c>
      <c r="M422" s="55">
        <f t="shared" si="110"/>
        <v>2500</v>
      </c>
      <c r="N422" s="207">
        <f t="shared" si="110"/>
        <v>520</v>
      </c>
      <c r="O422" s="207">
        <f t="shared" si="110"/>
        <v>520</v>
      </c>
      <c r="P422" s="261">
        <f t="shared" si="107"/>
        <v>100</v>
      </c>
    </row>
    <row r="423" spans="1:16" ht="26.25" customHeight="1">
      <c r="A423" s="6" t="s">
        <v>318</v>
      </c>
      <c r="B423" s="12" t="s">
        <v>166</v>
      </c>
      <c r="C423" s="11" t="s">
        <v>145</v>
      </c>
      <c r="D423" s="11" t="s">
        <v>179</v>
      </c>
      <c r="E423" s="39">
        <v>7950012</v>
      </c>
      <c r="F423" s="13" t="s">
        <v>316</v>
      </c>
      <c r="G423" s="34"/>
      <c r="H423" s="55"/>
      <c r="I423" s="55">
        <f>I424</f>
        <v>0</v>
      </c>
      <c r="J423" s="56"/>
      <c r="K423" s="55">
        <f>K424</f>
        <v>0</v>
      </c>
      <c r="L423" s="55">
        <f>L424</f>
        <v>0</v>
      </c>
      <c r="M423" s="55">
        <f t="shared" si="110"/>
        <v>2500</v>
      </c>
      <c r="N423" s="207">
        <f t="shared" si="110"/>
        <v>520</v>
      </c>
      <c r="O423" s="207">
        <f t="shared" si="110"/>
        <v>520</v>
      </c>
      <c r="P423" s="261">
        <f t="shared" si="107"/>
        <v>100</v>
      </c>
    </row>
    <row r="424" spans="1:33" s="68" customFormat="1" ht="15" customHeight="1">
      <c r="A424" s="6" t="s">
        <v>209</v>
      </c>
      <c r="B424" s="12" t="s">
        <v>166</v>
      </c>
      <c r="C424" s="11" t="s">
        <v>145</v>
      </c>
      <c r="D424" s="11" t="s">
        <v>179</v>
      </c>
      <c r="E424" s="39">
        <v>7950012</v>
      </c>
      <c r="F424" s="13" t="s">
        <v>316</v>
      </c>
      <c r="G424" s="34">
        <v>3</v>
      </c>
      <c r="H424" s="55"/>
      <c r="I424" s="55"/>
      <c r="J424" s="56"/>
      <c r="K424" s="55"/>
      <c r="L424" s="55"/>
      <c r="M424" s="55">
        <f>1237+1263</f>
        <v>2500</v>
      </c>
      <c r="N424" s="207">
        <v>520</v>
      </c>
      <c r="O424" s="207">
        <v>520</v>
      </c>
      <c r="P424" s="261">
        <f t="shared" si="107"/>
        <v>100</v>
      </c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</row>
    <row r="425" spans="1:33" s="68" customFormat="1" ht="39.75" customHeight="1">
      <c r="A425" s="105" t="s">
        <v>360</v>
      </c>
      <c r="B425" s="11" t="s">
        <v>166</v>
      </c>
      <c r="C425" s="11" t="s">
        <v>145</v>
      </c>
      <c r="D425" s="11" t="s">
        <v>179</v>
      </c>
      <c r="E425" s="37" t="s">
        <v>359</v>
      </c>
      <c r="F425" s="15"/>
      <c r="G425" s="34"/>
      <c r="H425" s="55"/>
      <c r="I425" s="55"/>
      <c r="J425" s="56"/>
      <c r="K425" s="55"/>
      <c r="L425" s="55"/>
      <c r="M425" s="55"/>
      <c r="N425" s="207">
        <f>N426</f>
        <v>0</v>
      </c>
      <c r="O425" s="207">
        <f>O426</f>
        <v>0</v>
      </c>
      <c r="P425" s="261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</row>
    <row r="426" spans="1:33" s="68" customFormat="1" ht="15" customHeight="1">
      <c r="A426" s="6" t="s">
        <v>339</v>
      </c>
      <c r="B426" s="12" t="s">
        <v>166</v>
      </c>
      <c r="C426" s="11" t="s">
        <v>145</v>
      </c>
      <c r="D426" s="11" t="s">
        <v>179</v>
      </c>
      <c r="E426" s="37" t="s">
        <v>359</v>
      </c>
      <c r="F426" s="110" t="s">
        <v>20</v>
      </c>
      <c r="G426" s="34"/>
      <c r="H426" s="55"/>
      <c r="I426" s="55"/>
      <c r="J426" s="56"/>
      <c r="K426" s="55"/>
      <c r="L426" s="55"/>
      <c r="M426" s="55"/>
      <c r="N426" s="207">
        <f>N427</f>
        <v>0</v>
      </c>
      <c r="O426" s="207">
        <f>O427</f>
        <v>0</v>
      </c>
      <c r="P426" s="261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</row>
    <row r="427" spans="1:33" s="68" customFormat="1" ht="15" customHeight="1">
      <c r="A427" s="5" t="s">
        <v>209</v>
      </c>
      <c r="B427" s="12" t="s">
        <v>166</v>
      </c>
      <c r="C427" s="11" t="s">
        <v>145</v>
      </c>
      <c r="D427" s="11" t="s">
        <v>179</v>
      </c>
      <c r="E427" s="37" t="s">
        <v>359</v>
      </c>
      <c r="F427" s="110" t="s">
        <v>20</v>
      </c>
      <c r="G427" s="34">
        <v>3</v>
      </c>
      <c r="H427" s="55"/>
      <c r="I427" s="55"/>
      <c r="J427" s="56"/>
      <c r="K427" s="55"/>
      <c r="L427" s="55"/>
      <c r="M427" s="55"/>
      <c r="N427" s="207"/>
      <c r="O427" s="207"/>
      <c r="P427" s="261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</row>
    <row r="428" spans="1:33" s="68" customFormat="1" ht="42" customHeight="1">
      <c r="A428" s="105" t="s">
        <v>404</v>
      </c>
      <c r="B428" s="11" t="s">
        <v>166</v>
      </c>
      <c r="C428" s="11" t="s">
        <v>145</v>
      </c>
      <c r="D428" s="11" t="s">
        <v>179</v>
      </c>
      <c r="E428" s="37" t="s">
        <v>415</v>
      </c>
      <c r="F428" s="110"/>
      <c r="G428" s="34"/>
      <c r="H428" s="55"/>
      <c r="I428" s="55"/>
      <c r="J428" s="56"/>
      <c r="K428" s="55"/>
      <c r="L428" s="55"/>
      <c r="M428" s="55"/>
      <c r="N428" s="207">
        <f>N429</f>
        <v>2438.961</v>
      </c>
      <c r="O428" s="207">
        <f>O429</f>
        <v>2438.961</v>
      </c>
      <c r="P428" s="261">
        <f t="shared" si="107"/>
        <v>100</v>
      </c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</row>
    <row r="429" spans="1:33" s="68" customFormat="1" ht="29.25" customHeight="1">
      <c r="A429" s="6" t="s">
        <v>318</v>
      </c>
      <c r="B429" s="12" t="s">
        <v>166</v>
      </c>
      <c r="C429" s="11" t="s">
        <v>145</v>
      </c>
      <c r="D429" s="11" t="s">
        <v>179</v>
      </c>
      <c r="E429" s="37" t="s">
        <v>415</v>
      </c>
      <c r="F429" s="13" t="s">
        <v>316</v>
      </c>
      <c r="G429" s="34"/>
      <c r="H429" s="55"/>
      <c r="I429" s="55"/>
      <c r="J429" s="56"/>
      <c r="K429" s="55"/>
      <c r="L429" s="55"/>
      <c r="M429" s="55"/>
      <c r="N429" s="207">
        <f>N430</f>
        <v>2438.961</v>
      </c>
      <c r="O429" s="207">
        <f>O430</f>
        <v>2438.961</v>
      </c>
      <c r="P429" s="261">
        <f t="shared" si="107"/>
        <v>100</v>
      </c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</row>
    <row r="430" spans="1:33" s="68" customFormat="1" ht="15" customHeight="1">
      <c r="A430" s="6" t="s">
        <v>209</v>
      </c>
      <c r="B430" s="12" t="s">
        <v>166</v>
      </c>
      <c r="C430" s="11" t="s">
        <v>145</v>
      </c>
      <c r="D430" s="11" t="s">
        <v>179</v>
      </c>
      <c r="E430" s="37" t="s">
        <v>415</v>
      </c>
      <c r="F430" s="13" t="s">
        <v>316</v>
      </c>
      <c r="G430" s="34">
        <v>3</v>
      </c>
      <c r="H430" s="55"/>
      <c r="I430" s="55"/>
      <c r="J430" s="56"/>
      <c r="K430" s="55"/>
      <c r="L430" s="55"/>
      <c r="M430" s="55"/>
      <c r="N430" s="207">
        <f>84+1500+72.6+95+437.361+250</f>
        <v>2438.961</v>
      </c>
      <c r="O430" s="207">
        <f>84+1500+72.6+95+437.361+250</f>
        <v>2438.961</v>
      </c>
      <c r="P430" s="261">
        <f t="shared" si="107"/>
        <v>100</v>
      </c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</row>
    <row r="431" spans="1:33" s="68" customFormat="1" ht="42" customHeight="1">
      <c r="A431" s="109" t="s">
        <v>405</v>
      </c>
      <c r="B431" s="11" t="s">
        <v>166</v>
      </c>
      <c r="C431" s="11" t="s">
        <v>145</v>
      </c>
      <c r="D431" s="11" t="s">
        <v>179</v>
      </c>
      <c r="E431" s="37" t="s">
        <v>406</v>
      </c>
      <c r="F431" s="13"/>
      <c r="G431" s="34"/>
      <c r="H431" s="55"/>
      <c r="I431" s="55"/>
      <c r="J431" s="56"/>
      <c r="K431" s="55"/>
      <c r="L431" s="55"/>
      <c r="M431" s="55"/>
      <c r="N431" s="207">
        <f>N432</f>
        <v>0</v>
      </c>
      <c r="O431" s="207">
        <f>O432</f>
        <v>0</v>
      </c>
      <c r="P431" s="261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</row>
    <row r="432" spans="1:33" s="68" customFormat="1" ht="26.25" customHeight="1">
      <c r="A432" s="6" t="s">
        <v>318</v>
      </c>
      <c r="B432" s="12" t="s">
        <v>166</v>
      </c>
      <c r="C432" s="11" t="s">
        <v>145</v>
      </c>
      <c r="D432" s="11" t="s">
        <v>179</v>
      </c>
      <c r="E432" s="149" t="s">
        <v>406</v>
      </c>
      <c r="F432" s="13" t="s">
        <v>316</v>
      </c>
      <c r="G432" s="34"/>
      <c r="H432" s="55"/>
      <c r="I432" s="55"/>
      <c r="J432" s="56"/>
      <c r="K432" s="55"/>
      <c r="L432" s="55"/>
      <c r="M432" s="55"/>
      <c r="N432" s="207">
        <f>N433+N434</f>
        <v>0</v>
      </c>
      <c r="O432" s="207">
        <f>O433+O434</f>
        <v>0</v>
      </c>
      <c r="P432" s="261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</row>
    <row r="433" spans="1:33" s="68" customFormat="1" ht="15" customHeight="1">
      <c r="A433" s="109" t="s">
        <v>211</v>
      </c>
      <c r="B433" s="12" t="s">
        <v>166</v>
      </c>
      <c r="C433" s="11" t="s">
        <v>145</v>
      </c>
      <c r="D433" s="11" t="s">
        <v>179</v>
      </c>
      <c r="E433" s="149" t="s">
        <v>406</v>
      </c>
      <c r="F433" s="13" t="s">
        <v>316</v>
      </c>
      <c r="G433" s="34">
        <v>2</v>
      </c>
      <c r="H433" s="55"/>
      <c r="I433" s="55"/>
      <c r="J433" s="56"/>
      <c r="K433" s="55"/>
      <c r="L433" s="55"/>
      <c r="M433" s="55"/>
      <c r="N433" s="207"/>
      <c r="O433" s="207"/>
      <c r="P433" s="261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</row>
    <row r="434" spans="1:33" s="68" customFormat="1" ht="15" customHeight="1">
      <c r="A434" s="5" t="s">
        <v>209</v>
      </c>
      <c r="B434" s="11" t="s">
        <v>166</v>
      </c>
      <c r="C434" s="11" t="s">
        <v>145</v>
      </c>
      <c r="D434" s="11" t="s">
        <v>179</v>
      </c>
      <c r="E434" s="149" t="s">
        <v>406</v>
      </c>
      <c r="F434" s="13" t="s">
        <v>316</v>
      </c>
      <c r="G434" s="34">
        <v>3</v>
      </c>
      <c r="H434" s="55"/>
      <c r="I434" s="55"/>
      <c r="J434" s="56"/>
      <c r="K434" s="55"/>
      <c r="L434" s="55"/>
      <c r="M434" s="55"/>
      <c r="N434" s="225">
        <f>250+939-1189</f>
        <v>0</v>
      </c>
      <c r="O434" s="225">
        <f>250+939-1189</f>
        <v>0</v>
      </c>
      <c r="P434" s="261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</row>
    <row r="435" spans="1:16" ht="15">
      <c r="A435" s="3" t="s">
        <v>36</v>
      </c>
      <c r="B435" s="12" t="s">
        <v>166</v>
      </c>
      <c r="C435" s="10" t="s">
        <v>148</v>
      </c>
      <c r="D435" s="10">
        <v>0</v>
      </c>
      <c r="E435" s="10">
        <v>0</v>
      </c>
      <c r="F435" s="10">
        <v>0</v>
      </c>
      <c r="G435" s="7"/>
      <c r="H435" s="56" t="e">
        <f>H441+H436</f>
        <v>#REF!</v>
      </c>
      <c r="I435" s="56" t="e">
        <f>I441+I436</f>
        <v>#REF!</v>
      </c>
      <c r="J435" s="56" t="e">
        <f>I435-H435</f>
        <v>#REF!</v>
      </c>
      <c r="K435" s="56" t="e">
        <f>K441+K436</f>
        <v>#REF!</v>
      </c>
      <c r="L435" s="56" t="e">
        <f>L441+L436</f>
        <v>#REF!</v>
      </c>
      <c r="M435" s="56" t="e">
        <f>M440+M436</f>
        <v>#REF!</v>
      </c>
      <c r="N435" s="208">
        <f>N440+N436</f>
        <v>2113.47721</v>
      </c>
      <c r="O435" s="208">
        <f>O440+O436</f>
        <v>2113.4648399999996</v>
      </c>
      <c r="P435" s="261">
        <f t="shared" si="107"/>
        <v>99.9994147086166</v>
      </c>
    </row>
    <row r="436" spans="1:16" ht="15">
      <c r="A436" s="3" t="s">
        <v>16</v>
      </c>
      <c r="B436" s="12" t="s">
        <v>166</v>
      </c>
      <c r="C436" s="10" t="s">
        <v>148</v>
      </c>
      <c r="D436" s="10" t="s">
        <v>174</v>
      </c>
      <c r="E436" s="10"/>
      <c r="F436" s="10"/>
      <c r="G436" s="34"/>
      <c r="H436" s="55" t="e">
        <f>#REF!+#REF!</f>
        <v>#REF!</v>
      </c>
      <c r="I436" s="55" t="e">
        <f>#REF!+#REF!</f>
        <v>#REF!</v>
      </c>
      <c r="J436" s="56" t="e">
        <f>I436-H436</f>
        <v>#REF!</v>
      </c>
      <c r="K436" s="55" t="e">
        <f>#REF!+#REF!</f>
        <v>#REF!</v>
      </c>
      <c r="L436" s="55" t="e">
        <f>#REF!+#REF!</f>
        <v>#REF!</v>
      </c>
      <c r="M436" s="55" t="e">
        <f>#REF!+#REF!+M437</f>
        <v>#REF!</v>
      </c>
      <c r="N436" s="207">
        <f>N437</f>
        <v>1494.1862099999998</v>
      </c>
      <c r="O436" s="207">
        <f>O437</f>
        <v>1494.1862099999998</v>
      </c>
      <c r="P436" s="261">
        <f t="shared" si="107"/>
        <v>100</v>
      </c>
    </row>
    <row r="437" spans="1:33" s="68" customFormat="1" ht="157.5">
      <c r="A437" s="48" t="s">
        <v>355</v>
      </c>
      <c r="B437" s="12" t="s">
        <v>166</v>
      </c>
      <c r="C437" s="11" t="s">
        <v>148</v>
      </c>
      <c r="D437" s="10" t="s">
        <v>174</v>
      </c>
      <c r="E437" s="49" t="s">
        <v>356</v>
      </c>
      <c r="F437" s="49"/>
      <c r="G437" s="34"/>
      <c r="H437" s="55"/>
      <c r="I437" s="55"/>
      <c r="J437" s="56"/>
      <c r="K437" s="55"/>
      <c r="L437" s="55"/>
      <c r="M437" s="55">
        <f aca="true" t="shared" si="111" ref="M437:O438">M438</f>
        <v>2977</v>
      </c>
      <c r="N437" s="207">
        <f t="shared" si="111"/>
        <v>1494.1862099999998</v>
      </c>
      <c r="O437" s="207">
        <f t="shared" si="111"/>
        <v>1494.1862099999998</v>
      </c>
      <c r="P437" s="261">
        <f t="shared" si="107"/>
        <v>100</v>
      </c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</row>
    <row r="438" spans="1:33" s="68" customFormat="1" ht="39">
      <c r="A438" s="6" t="s">
        <v>348</v>
      </c>
      <c r="B438" s="12" t="s">
        <v>166</v>
      </c>
      <c r="C438" s="11" t="s">
        <v>148</v>
      </c>
      <c r="D438" s="10" t="s">
        <v>174</v>
      </c>
      <c r="E438" s="49" t="s">
        <v>356</v>
      </c>
      <c r="F438" s="49" t="s">
        <v>347</v>
      </c>
      <c r="G438" s="34"/>
      <c r="H438" s="55"/>
      <c r="I438" s="55"/>
      <c r="J438" s="56"/>
      <c r="K438" s="55"/>
      <c r="L438" s="55"/>
      <c r="M438" s="55">
        <f t="shared" si="111"/>
        <v>2977</v>
      </c>
      <c r="N438" s="207">
        <f t="shared" si="111"/>
        <v>1494.1862099999998</v>
      </c>
      <c r="O438" s="207">
        <f t="shared" si="111"/>
        <v>1494.1862099999998</v>
      </c>
      <c r="P438" s="261">
        <f t="shared" si="107"/>
        <v>100</v>
      </c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</row>
    <row r="439" spans="1:33" s="68" customFormat="1" ht="15">
      <c r="A439" s="6" t="s">
        <v>211</v>
      </c>
      <c r="B439" s="12" t="s">
        <v>166</v>
      </c>
      <c r="C439" s="11" t="s">
        <v>148</v>
      </c>
      <c r="D439" s="10" t="s">
        <v>174</v>
      </c>
      <c r="E439" s="49" t="s">
        <v>356</v>
      </c>
      <c r="F439" s="49" t="s">
        <v>347</v>
      </c>
      <c r="G439" s="34">
        <v>2</v>
      </c>
      <c r="H439" s="55"/>
      <c r="I439" s="55"/>
      <c r="J439" s="56"/>
      <c r="K439" s="55"/>
      <c r="L439" s="55"/>
      <c r="M439" s="55">
        <v>2977</v>
      </c>
      <c r="N439" s="207">
        <f>3002.9-478.71379-1030</f>
        <v>1494.1862099999998</v>
      </c>
      <c r="O439" s="207">
        <f>3002.9-478.71379-1030</f>
        <v>1494.1862099999998</v>
      </c>
      <c r="P439" s="261">
        <f t="shared" si="107"/>
        <v>100</v>
      </c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</row>
    <row r="440" spans="1:16" ht="15">
      <c r="A440" s="4" t="s">
        <v>295</v>
      </c>
      <c r="B440" s="11" t="s">
        <v>166</v>
      </c>
      <c r="C440" s="11" t="s">
        <v>148</v>
      </c>
      <c r="D440" s="11" t="s">
        <v>180</v>
      </c>
      <c r="E440" s="11">
        <v>0</v>
      </c>
      <c r="F440" s="11"/>
      <c r="G440" s="8"/>
      <c r="H440" s="55">
        <f aca="true" t="shared" si="112" ref="H440:I443">H441</f>
        <v>324.7</v>
      </c>
      <c r="I440" s="55">
        <f t="shared" si="112"/>
        <v>210.9</v>
      </c>
      <c r="J440" s="56">
        <f>I440-H440</f>
        <v>-113.79999999999998</v>
      </c>
      <c r="K440" s="55">
        <f aca="true" t="shared" si="113" ref="K440:L443">K441</f>
        <v>210.9</v>
      </c>
      <c r="L440" s="55">
        <f t="shared" si="113"/>
        <v>210.9</v>
      </c>
      <c r="M440" s="55">
        <f>M441+M446+M451</f>
        <v>917.8</v>
      </c>
      <c r="N440" s="207">
        <f>N441+N446+N451</f>
        <v>619.291</v>
      </c>
      <c r="O440" s="207">
        <f>O441+O446+O451</f>
        <v>619.27863</v>
      </c>
      <c r="P440" s="261">
        <f t="shared" si="107"/>
        <v>99.99800255453412</v>
      </c>
    </row>
    <row r="441" spans="1:16" ht="26.25">
      <c r="A441" s="5" t="s">
        <v>5</v>
      </c>
      <c r="B441" s="12" t="s">
        <v>166</v>
      </c>
      <c r="C441" s="11" t="s">
        <v>148</v>
      </c>
      <c r="D441" s="11" t="s">
        <v>180</v>
      </c>
      <c r="E441" s="12" t="s">
        <v>6</v>
      </c>
      <c r="F441" s="12"/>
      <c r="G441" s="9"/>
      <c r="H441" s="61">
        <f t="shared" si="112"/>
        <v>324.7</v>
      </c>
      <c r="I441" s="61">
        <f t="shared" si="112"/>
        <v>210.9</v>
      </c>
      <c r="J441" s="56">
        <f>I441-H441</f>
        <v>-113.79999999999998</v>
      </c>
      <c r="K441" s="61">
        <f t="shared" si="113"/>
        <v>210.9</v>
      </c>
      <c r="L441" s="61">
        <f t="shared" si="113"/>
        <v>210.9</v>
      </c>
      <c r="M441" s="61">
        <f aca="true" t="shared" si="114" ref="M441:O442">M442</f>
        <v>298.9</v>
      </c>
      <c r="N441" s="226">
        <f t="shared" si="114"/>
        <v>500.5</v>
      </c>
      <c r="O441" s="226">
        <f t="shared" si="114"/>
        <v>500.5</v>
      </c>
      <c r="P441" s="261">
        <f t="shared" si="107"/>
        <v>100</v>
      </c>
    </row>
    <row r="442" spans="1:16" ht="77.25">
      <c r="A442" s="105" t="s">
        <v>121</v>
      </c>
      <c r="B442" s="12" t="s">
        <v>166</v>
      </c>
      <c r="C442" s="11" t="s">
        <v>148</v>
      </c>
      <c r="D442" s="11" t="s">
        <v>180</v>
      </c>
      <c r="E442" s="12" t="s">
        <v>122</v>
      </c>
      <c r="F442" s="12"/>
      <c r="G442" s="34"/>
      <c r="H442" s="55">
        <f t="shared" si="112"/>
        <v>324.7</v>
      </c>
      <c r="I442" s="55">
        <f t="shared" si="112"/>
        <v>210.9</v>
      </c>
      <c r="J442" s="56">
        <f>I442-H442</f>
        <v>-113.79999999999998</v>
      </c>
      <c r="K442" s="55">
        <f t="shared" si="113"/>
        <v>210.9</v>
      </c>
      <c r="L442" s="55">
        <f t="shared" si="113"/>
        <v>210.9</v>
      </c>
      <c r="M442" s="55">
        <f t="shared" si="114"/>
        <v>298.9</v>
      </c>
      <c r="N442" s="207">
        <f t="shared" si="114"/>
        <v>500.5</v>
      </c>
      <c r="O442" s="207">
        <f t="shared" si="114"/>
        <v>500.5</v>
      </c>
      <c r="P442" s="261">
        <f t="shared" si="107"/>
        <v>100</v>
      </c>
    </row>
    <row r="443" spans="1:16" ht="39">
      <c r="A443" s="6" t="s">
        <v>348</v>
      </c>
      <c r="B443" s="11" t="s">
        <v>166</v>
      </c>
      <c r="C443" s="11" t="s">
        <v>148</v>
      </c>
      <c r="D443" s="11" t="s">
        <v>180</v>
      </c>
      <c r="E443" s="12" t="s">
        <v>122</v>
      </c>
      <c r="F443" s="13" t="s">
        <v>347</v>
      </c>
      <c r="G443" s="34"/>
      <c r="H443" s="55">
        <f t="shared" si="112"/>
        <v>324.7</v>
      </c>
      <c r="I443" s="55">
        <f t="shared" si="112"/>
        <v>210.9</v>
      </c>
      <c r="J443" s="56">
        <f>I443-H443</f>
        <v>-113.79999999999998</v>
      </c>
      <c r="K443" s="55">
        <f t="shared" si="113"/>
        <v>210.9</v>
      </c>
      <c r="L443" s="55">
        <f t="shared" si="113"/>
        <v>210.9</v>
      </c>
      <c r="M443" s="55">
        <f>M444+M445</f>
        <v>298.9</v>
      </c>
      <c r="N443" s="207">
        <f>N444+N445</f>
        <v>500.5</v>
      </c>
      <c r="O443" s="207">
        <f>O444+O445</f>
        <v>500.5</v>
      </c>
      <c r="P443" s="261">
        <f t="shared" si="107"/>
        <v>100</v>
      </c>
    </row>
    <row r="444" spans="1:33" s="69" customFormat="1" ht="15">
      <c r="A444" s="6" t="s">
        <v>210</v>
      </c>
      <c r="B444" s="11" t="s">
        <v>166</v>
      </c>
      <c r="C444" s="11" t="s">
        <v>148</v>
      </c>
      <c r="D444" s="11" t="s">
        <v>180</v>
      </c>
      <c r="E444" s="12" t="s">
        <v>122</v>
      </c>
      <c r="F444" s="13" t="s">
        <v>347</v>
      </c>
      <c r="G444" s="34">
        <v>1</v>
      </c>
      <c r="H444" s="72">
        <v>324.7</v>
      </c>
      <c r="I444" s="55">
        <v>210.9</v>
      </c>
      <c r="J444" s="56">
        <f>I444-H444</f>
        <v>-113.79999999999998</v>
      </c>
      <c r="K444" s="55">
        <v>210.9</v>
      </c>
      <c r="L444" s="55">
        <v>210.9</v>
      </c>
      <c r="M444" s="55"/>
      <c r="N444" s="207"/>
      <c r="O444" s="207"/>
      <c r="P444" s="261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</row>
    <row r="445" spans="1:33" s="69" customFormat="1" ht="15">
      <c r="A445" s="6" t="s">
        <v>211</v>
      </c>
      <c r="B445" s="11" t="s">
        <v>166</v>
      </c>
      <c r="C445" s="11" t="s">
        <v>148</v>
      </c>
      <c r="D445" s="11" t="s">
        <v>180</v>
      </c>
      <c r="E445" s="12" t="s">
        <v>122</v>
      </c>
      <c r="F445" s="13" t="s">
        <v>347</v>
      </c>
      <c r="G445" s="34">
        <v>2</v>
      </c>
      <c r="H445" s="72"/>
      <c r="I445" s="55"/>
      <c r="J445" s="56"/>
      <c r="K445" s="55"/>
      <c r="L445" s="55"/>
      <c r="M445" s="55">
        <v>298.9</v>
      </c>
      <c r="N445" s="207">
        <f>377.9+122.6</f>
        <v>500.5</v>
      </c>
      <c r="O445" s="207">
        <f>377.9+122.6</f>
        <v>500.5</v>
      </c>
      <c r="P445" s="261">
        <f t="shared" si="107"/>
        <v>100</v>
      </c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</row>
    <row r="446" spans="1:33" s="23" customFormat="1" ht="39">
      <c r="A446" s="109" t="s">
        <v>325</v>
      </c>
      <c r="B446" s="12" t="s">
        <v>166</v>
      </c>
      <c r="C446" s="11" t="s">
        <v>148</v>
      </c>
      <c r="D446" s="11" t="s">
        <v>180</v>
      </c>
      <c r="E446" s="37" t="s">
        <v>324</v>
      </c>
      <c r="F446" s="12"/>
      <c r="G446" s="9"/>
      <c r="H446" s="72"/>
      <c r="I446" s="55"/>
      <c r="J446" s="56"/>
      <c r="K446" s="55"/>
      <c r="L446" s="55"/>
      <c r="M446" s="55">
        <f aca="true" t="shared" si="115" ref="M446:O449">M447</f>
        <v>152.7</v>
      </c>
      <c r="N446" s="207">
        <f t="shared" si="115"/>
        <v>56.980000000000004</v>
      </c>
      <c r="O446" s="207">
        <f t="shared" si="115"/>
        <v>56.96852</v>
      </c>
      <c r="P446" s="261">
        <f t="shared" si="107"/>
        <v>99.97985257985256</v>
      </c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</row>
    <row r="447" spans="1:33" s="23" customFormat="1" ht="51.75">
      <c r="A447" s="6" t="s">
        <v>327</v>
      </c>
      <c r="B447" s="12" t="s">
        <v>166</v>
      </c>
      <c r="C447" s="11" t="s">
        <v>148</v>
      </c>
      <c r="D447" s="11" t="s">
        <v>180</v>
      </c>
      <c r="E447" s="37" t="s">
        <v>326</v>
      </c>
      <c r="F447" s="12"/>
      <c r="G447" s="34"/>
      <c r="H447" s="72"/>
      <c r="I447" s="55"/>
      <c r="J447" s="56"/>
      <c r="K447" s="55"/>
      <c r="L447" s="55"/>
      <c r="M447" s="55">
        <f t="shared" si="115"/>
        <v>152.7</v>
      </c>
      <c r="N447" s="207">
        <f t="shared" si="115"/>
        <v>56.980000000000004</v>
      </c>
      <c r="O447" s="207">
        <f t="shared" si="115"/>
        <v>56.96852</v>
      </c>
      <c r="P447" s="261">
        <f t="shared" si="107"/>
        <v>99.97985257985256</v>
      </c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</row>
    <row r="448" spans="1:33" s="23" customFormat="1" ht="86.25" customHeight="1">
      <c r="A448" s="118" t="s">
        <v>328</v>
      </c>
      <c r="B448" s="11" t="s">
        <v>166</v>
      </c>
      <c r="C448" s="11" t="s">
        <v>148</v>
      </c>
      <c r="D448" s="11" t="s">
        <v>180</v>
      </c>
      <c r="E448" s="37" t="s">
        <v>329</v>
      </c>
      <c r="F448" s="13"/>
      <c r="G448" s="34"/>
      <c r="H448" s="72"/>
      <c r="I448" s="55"/>
      <c r="J448" s="56"/>
      <c r="K448" s="55"/>
      <c r="L448" s="55"/>
      <c r="M448" s="55">
        <f t="shared" si="115"/>
        <v>152.7</v>
      </c>
      <c r="N448" s="207">
        <f t="shared" si="115"/>
        <v>56.980000000000004</v>
      </c>
      <c r="O448" s="207">
        <f t="shared" si="115"/>
        <v>56.96852</v>
      </c>
      <c r="P448" s="261">
        <f t="shared" si="107"/>
        <v>99.97985257985256</v>
      </c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</row>
    <row r="449" spans="1:33" s="23" customFormat="1" ht="39">
      <c r="A449" s="6" t="s">
        <v>348</v>
      </c>
      <c r="B449" s="11" t="s">
        <v>166</v>
      </c>
      <c r="C449" s="11" t="s">
        <v>148</v>
      </c>
      <c r="D449" s="11" t="s">
        <v>180</v>
      </c>
      <c r="E449" s="37" t="s">
        <v>329</v>
      </c>
      <c r="F449" s="13" t="s">
        <v>347</v>
      </c>
      <c r="G449" s="34"/>
      <c r="H449" s="72"/>
      <c r="I449" s="55"/>
      <c r="J449" s="56"/>
      <c r="K449" s="55"/>
      <c r="L449" s="55"/>
      <c r="M449" s="55">
        <f t="shared" si="115"/>
        <v>152.7</v>
      </c>
      <c r="N449" s="207">
        <f t="shared" si="115"/>
        <v>56.980000000000004</v>
      </c>
      <c r="O449" s="207">
        <f t="shared" si="115"/>
        <v>56.96852</v>
      </c>
      <c r="P449" s="261">
        <f t="shared" si="107"/>
        <v>99.97985257985256</v>
      </c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</row>
    <row r="450" spans="1:33" s="23" customFormat="1" ht="15">
      <c r="A450" s="6" t="s">
        <v>211</v>
      </c>
      <c r="B450" s="11" t="s">
        <v>166</v>
      </c>
      <c r="C450" s="11" t="s">
        <v>148</v>
      </c>
      <c r="D450" s="11" t="s">
        <v>180</v>
      </c>
      <c r="E450" s="37" t="s">
        <v>329</v>
      </c>
      <c r="F450" s="13" t="s">
        <v>347</v>
      </c>
      <c r="G450" s="34">
        <v>2</v>
      </c>
      <c r="H450" s="72"/>
      <c r="I450" s="55"/>
      <c r="J450" s="56"/>
      <c r="K450" s="55"/>
      <c r="L450" s="55"/>
      <c r="M450" s="55">
        <v>152.7</v>
      </c>
      <c r="N450" s="207">
        <f>74.5-17.52</f>
        <v>56.980000000000004</v>
      </c>
      <c r="O450" s="207">
        <v>56.96852</v>
      </c>
      <c r="P450" s="261">
        <f t="shared" si="107"/>
        <v>99.97985257985256</v>
      </c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</row>
    <row r="451" spans="1:33" s="23" customFormat="1" ht="51.75">
      <c r="A451" s="6" t="s">
        <v>297</v>
      </c>
      <c r="B451" s="12" t="s">
        <v>166</v>
      </c>
      <c r="C451" s="11" t="s">
        <v>148</v>
      </c>
      <c r="D451" s="11" t="s">
        <v>180</v>
      </c>
      <c r="E451" s="37" t="s">
        <v>296</v>
      </c>
      <c r="F451" s="13"/>
      <c r="G451" s="34"/>
      <c r="H451" s="72"/>
      <c r="I451" s="55"/>
      <c r="J451" s="56"/>
      <c r="K451" s="55"/>
      <c r="L451" s="55"/>
      <c r="M451" s="55">
        <f aca="true" t="shared" si="116" ref="M451:O452">M452</f>
        <v>466.2</v>
      </c>
      <c r="N451" s="207">
        <f t="shared" si="116"/>
        <v>61.810999999999986</v>
      </c>
      <c r="O451" s="207">
        <f t="shared" si="116"/>
        <v>61.81011</v>
      </c>
      <c r="P451" s="261">
        <f t="shared" si="107"/>
        <v>99.99856012683829</v>
      </c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</row>
    <row r="452" spans="1:33" s="23" customFormat="1" ht="39">
      <c r="A452" s="6" t="s">
        <v>348</v>
      </c>
      <c r="B452" s="11" t="s">
        <v>166</v>
      </c>
      <c r="C452" s="11" t="s">
        <v>148</v>
      </c>
      <c r="D452" s="11" t="s">
        <v>180</v>
      </c>
      <c r="E452" s="37" t="s">
        <v>296</v>
      </c>
      <c r="F452" s="13" t="s">
        <v>347</v>
      </c>
      <c r="G452" s="34"/>
      <c r="H452" s="72"/>
      <c r="I452" s="55"/>
      <c r="J452" s="56"/>
      <c r="K452" s="55"/>
      <c r="L452" s="55"/>
      <c r="M452" s="55">
        <f t="shared" si="116"/>
        <v>466.2</v>
      </c>
      <c r="N452" s="207">
        <f t="shared" si="116"/>
        <v>61.810999999999986</v>
      </c>
      <c r="O452" s="207">
        <f t="shared" si="116"/>
        <v>61.81011</v>
      </c>
      <c r="P452" s="261">
        <f t="shared" si="107"/>
        <v>99.99856012683829</v>
      </c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</row>
    <row r="453" spans="1:33" s="23" customFormat="1" ht="15">
      <c r="A453" s="6" t="s">
        <v>209</v>
      </c>
      <c r="B453" s="11" t="s">
        <v>166</v>
      </c>
      <c r="C453" s="11" t="s">
        <v>148</v>
      </c>
      <c r="D453" s="11" t="s">
        <v>180</v>
      </c>
      <c r="E453" s="37" t="s">
        <v>296</v>
      </c>
      <c r="F453" s="13" t="s">
        <v>347</v>
      </c>
      <c r="G453" s="34">
        <v>3</v>
      </c>
      <c r="H453" s="72"/>
      <c r="I453" s="55"/>
      <c r="J453" s="56"/>
      <c r="K453" s="55"/>
      <c r="L453" s="55"/>
      <c r="M453" s="55">
        <v>466.2</v>
      </c>
      <c r="N453" s="207">
        <f>466.2-200-100-71-33.389</f>
        <v>61.810999999999986</v>
      </c>
      <c r="O453" s="207">
        <v>61.81011</v>
      </c>
      <c r="P453" s="261">
        <f t="shared" si="107"/>
        <v>99.99856012683829</v>
      </c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</row>
    <row r="454" spans="1:33" s="25" customFormat="1" ht="45">
      <c r="A454" s="2" t="s">
        <v>245</v>
      </c>
      <c r="B454" s="10" t="s">
        <v>167</v>
      </c>
      <c r="C454" s="10">
        <v>0</v>
      </c>
      <c r="D454" s="10">
        <v>0</v>
      </c>
      <c r="E454" s="10">
        <v>0</v>
      </c>
      <c r="F454" s="12">
        <v>0</v>
      </c>
      <c r="G454" s="34"/>
      <c r="H454" s="56" t="e">
        <f>H469</f>
        <v>#REF!</v>
      </c>
      <c r="I454" s="56" t="e">
        <f>I469</f>
        <v>#REF!</v>
      </c>
      <c r="J454" s="56" t="e">
        <f>I454-H454</f>
        <v>#REF!</v>
      </c>
      <c r="K454" s="56" t="e">
        <f>K469+K526</f>
        <v>#REF!</v>
      </c>
      <c r="L454" s="56" t="e">
        <f>L469+L526</f>
        <v>#REF!</v>
      </c>
      <c r="M454" s="56">
        <f>M469+M526+M455</f>
        <v>11244.8</v>
      </c>
      <c r="N454" s="208">
        <f>N469+N526+N455</f>
        <v>11337.800000000001</v>
      </c>
      <c r="O454" s="208">
        <f>O469+O526+O455</f>
        <v>11838.800000000001</v>
      </c>
      <c r="P454" s="261">
        <f t="shared" si="107"/>
        <v>104.41884668983401</v>
      </c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</row>
    <row r="455" spans="1:16" ht="15">
      <c r="A455" s="3" t="s">
        <v>47</v>
      </c>
      <c r="B455" s="10" t="s">
        <v>167</v>
      </c>
      <c r="C455" s="10" t="s">
        <v>145</v>
      </c>
      <c r="D455" s="10">
        <v>0</v>
      </c>
      <c r="E455" s="10">
        <v>0</v>
      </c>
      <c r="F455" s="10">
        <v>0</v>
      </c>
      <c r="G455" s="7"/>
      <c r="H455" s="55">
        <f aca="true" t="shared" si="117" ref="H455:I459">H456</f>
        <v>2106</v>
      </c>
      <c r="I455" s="55">
        <f t="shared" si="117"/>
        <v>2156</v>
      </c>
      <c r="J455" s="56">
        <f aca="true" t="shared" si="118" ref="J455:J460">I455-H455</f>
        <v>50</v>
      </c>
      <c r="K455" s="55">
        <f aca="true" t="shared" si="119" ref="K455:L459">K456</f>
        <v>2156</v>
      </c>
      <c r="L455" s="55">
        <f t="shared" si="119"/>
        <v>2156</v>
      </c>
      <c r="M455" s="55">
        <f aca="true" t="shared" si="120" ref="M455:O457">M456</f>
        <v>5211</v>
      </c>
      <c r="N455" s="207">
        <f t="shared" si="120"/>
        <v>5751.1</v>
      </c>
      <c r="O455" s="207">
        <f t="shared" si="120"/>
        <v>5751.1</v>
      </c>
      <c r="P455" s="261">
        <f t="shared" si="107"/>
        <v>100</v>
      </c>
    </row>
    <row r="456" spans="1:16" ht="15">
      <c r="A456" s="4" t="s">
        <v>3</v>
      </c>
      <c r="B456" s="11" t="s">
        <v>167</v>
      </c>
      <c r="C456" s="11" t="s">
        <v>145</v>
      </c>
      <c r="D456" s="11" t="s">
        <v>178</v>
      </c>
      <c r="E456" s="11">
        <v>0</v>
      </c>
      <c r="F456" s="11"/>
      <c r="G456" s="8"/>
      <c r="H456" s="55">
        <f t="shared" si="117"/>
        <v>2106</v>
      </c>
      <c r="I456" s="55">
        <f t="shared" si="117"/>
        <v>2156</v>
      </c>
      <c r="J456" s="56">
        <f t="shared" si="118"/>
        <v>50</v>
      </c>
      <c r="K456" s="55">
        <f t="shared" si="119"/>
        <v>2156</v>
      </c>
      <c r="L456" s="55">
        <f t="shared" si="119"/>
        <v>2156</v>
      </c>
      <c r="M456" s="55">
        <f t="shared" si="120"/>
        <v>5211</v>
      </c>
      <c r="N456" s="207">
        <f>N457+N466+N463</f>
        <v>5751.1</v>
      </c>
      <c r="O456" s="207">
        <f>O457+O466+O463</f>
        <v>5751.1</v>
      </c>
      <c r="P456" s="261">
        <f t="shared" si="107"/>
        <v>100</v>
      </c>
    </row>
    <row r="457" spans="1:16" ht="26.25">
      <c r="A457" s="5" t="s">
        <v>4</v>
      </c>
      <c r="B457" s="12" t="s">
        <v>167</v>
      </c>
      <c r="C457" s="11" t="s">
        <v>145</v>
      </c>
      <c r="D457" s="11" t="s">
        <v>178</v>
      </c>
      <c r="E457" s="12" t="s">
        <v>60</v>
      </c>
      <c r="F457" s="12"/>
      <c r="G457" s="9"/>
      <c r="H457" s="55">
        <f t="shared" si="117"/>
        <v>2106</v>
      </c>
      <c r="I457" s="55">
        <f t="shared" si="117"/>
        <v>2156</v>
      </c>
      <c r="J457" s="56">
        <f t="shared" si="118"/>
        <v>50</v>
      </c>
      <c r="K457" s="55">
        <f t="shared" si="119"/>
        <v>2156</v>
      </c>
      <c r="L457" s="55">
        <f t="shared" si="119"/>
        <v>2156</v>
      </c>
      <c r="M457" s="55">
        <f t="shared" si="120"/>
        <v>5211</v>
      </c>
      <c r="N457" s="207">
        <f t="shared" si="120"/>
        <v>5680</v>
      </c>
      <c r="O457" s="207">
        <f t="shared" si="120"/>
        <v>5680</v>
      </c>
      <c r="P457" s="261">
        <f t="shared" si="107"/>
        <v>100</v>
      </c>
    </row>
    <row r="458" spans="1:16" ht="26.25">
      <c r="A458" s="105" t="s">
        <v>343</v>
      </c>
      <c r="B458" s="12" t="s">
        <v>167</v>
      </c>
      <c r="C458" s="11" t="s">
        <v>145</v>
      </c>
      <c r="D458" s="11" t="s">
        <v>178</v>
      </c>
      <c r="E458" s="12" t="s">
        <v>42</v>
      </c>
      <c r="F458" s="12"/>
      <c r="G458" s="9"/>
      <c r="H458" s="55">
        <f t="shared" si="117"/>
        <v>2106</v>
      </c>
      <c r="I458" s="55">
        <f t="shared" si="117"/>
        <v>2156</v>
      </c>
      <c r="J458" s="56">
        <f t="shared" si="118"/>
        <v>50</v>
      </c>
      <c r="K458" s="55">
        <f t="shared" si="119"/>
        <v>2156</v>
      </c>
      <c r="L458" s="55">
        <f t="shared" si="119"/>
        <v>2156</v>
      </c>
      <c r="M458" s="55">
        <f>M459+M461</f>
        <v>5211</v>
      </c>
      <c r="N458" s="207">
        <f>N459+N461</f>
        <v>5680</v>
      </c>
      <c r="O458" s="207">
        <f>O459+O461</f>
        <v>5680</v>
      </c>
      <c r="P458" s="261">
        <f t="shared" si="107"/>
        <v>100</v>
      </c>
    </row>
    <row r="459" spans="1:16" ht="64.5">
      <c r="A459" s="6" t="s">
        <v>319</v>
      </c>
      <c r="B459" s="12" t="s">
        <v>167</v>
      </c>
      <c r="C459" s="11" t="s">
        <v>145</v>
      </c>
      <c r="D459" s="11" t="s">
        <v>178</v>
      </c>
      <c r="E459" s="12" t="s">
        <v>42</v>
      </c>
      <c r="F459" s="13" t="s">
        <v>315</v>
      </c>
      <c r="G459" s="34"/>
      <c r="H459" s="55">
        <f t="shared" si="117"/>
        <v>2106</v>
      </c>
      <c r="I459" s="55">
        <f t="shared" si="117"/>
        <v>2156</v>
      </c>
      <c r="J459" s="56">
        <f t="shared" si="118"/>
        <v>50</v>
      </c>
      <c r="K459" s="55">
        <f t="shared" si="119"/>
        <v>2156</v>
      </c>
      <c r="L459" s="55">
        <f t="shared" si="119"/>
        <v>2156</v>
      </c>
      <c r="M459" s="55">
        <f>M460</f>
        <v>5131</v>
      </c>
      <c r="N459" s="207">
        <f>N460</f>
        <v>5630</v>
      </c>
      <c r="O459" s="207">
        <f>O460</f>
        <v>5630</v>
      </c>
      <c r="P459" s="261">
        <f t="shared" si="107"/>
        <v>100</v>
      </c>
    </row>
    <row r="460" spans="1:33" s="23" customFormat="1" ht="15">
      <c r="A460" s="105" t="s">
        <v>317</v>
      </c>
      <c r="B460" s="12" t="s">
        <v>167</v>
      </c>
      <c r="C460" s="11" t="s">
        <v>145</v>
      </c>
      <c r="D460" s="11" t="s">
        <v>178</v>
      </c>
      <c r="E460" s="12" t="s">
        <v>42</v>
      </c>
      <c r="F460" s="13" t="s">
        <v>315</v>
      </c>
      <c r="G460" s="34">
        <v>3</v>
      </c>
      <c r="H460" s="72">
        <f>2106</f>
        <v>2106</v>
      </c>
      <c r="I460" s="55">
        <v>2156</v>
      </c>
      <c r="J460" s="56">
        <f t="shared" si="118"/>
        <v>50</v>
      </c>
      <c r="K460" s="55">
        <v>2156</v>
      </c>
      <c r="L460" s="55">
        <v>2156</v>
      </c>
      <c r="M460" s="55">
        <f>2256+2955-10-30-40</f>
        <v>5131</v>
      </c>
      <c r="N460" s="207">
        <v>5630</v>
      </c>
      <c r="O460" s="207">
        <v>5630</v>
      </c>
      <c r="P460" s="261">
        <f aca="true" t="shared" si="121" ref="P460:P528">O460/N460*100</f>
        <v>100</v>
      </c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</row>
    <row r="461" spans="1:33" s="23" customFormat="1" ht="26.25">
      <c r="A461" s="6" t="s">
        <v>318</v>
      </c>
      <c r="B461" s="12" t="s">
        <v>167</v>
      </c>
      <c r="C461" s="11" t="s">
        <v>145</v>
      </c>
      <c r="D461" s="11" t="s">
        <v>178</v>
      </c>
      <c r="E461" s="12" t="s">
        <v>42</v>
      </c>
      <c r="F461" s="13" t="s">
        <v>316</v>
      </c>
      <c r="G461" s="34"/>
      <c r="H461" s="72"/>
      <c r="I461" s="55"/>
      <c r="J461" s="56"/>
      <c r="K461" s="55"/>
      <c r="L461" s="55"/>
      <c r="M461" s="55">
        <f>M462</f>
        <v>80</v>
      </c>
      <c r="N461" s="207">
        <f>N462</f>
        <v>50</v>
      </c>
      <c r="O461" s="207">
        <f>O462</f>
        <v>50</v>
      </c>
      <c r="P461" s="261">
        <f t="shared" si="121"/>
        <v>100</v>
      </c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</row>
    <row r="462" spans="1:33" s="23" customFormat="1" ht="15">
      <c r="A462" s="105" t="s">
        <v>317</v>
      </c>
      <c r="B462" s="12" t="s">
        <v>167</v>
      </c>
      <c r="C462" s="11" t="s">
        <v>145</v>
      </c>
      <c r="D462" s="11" t="s">
        <v>178</v>
      </c>
      <c r="E462" s="12" t="s">
        <v>42</v>
      </c>
      <c r="F462" s="13" t="s">
        <v>316</v>
      </c>
      <c r="G462" s="34">
        <v>3</v>
      </c>
      <c r="H462" s="72"/>
      <c r="I462" s="55"/>
      <c r="J462" s="56"/>
      <c r="K462" s="55"/>
      <c r="L462" s="55"/>
      <c r="M462" s="55">
        <f>10+30+40</f>
        <v>80</v>
      </c>
      <c r="N462" s="207">
        <v>50</v>
      </c>
      <c r="O462" s="207">
        <v>50</v>
      </c>
      <c r="P462" s="261">
        <f t="shared" si="121"/>
        <v>100</v>
      </c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</row>
    <row r="463" spans="1:33" s="23" customFormat="1" ht="39">
      <c r="A463" s="152" t="s">
        <v>377</v>
      </c>
      <c r="B463" s="12" t="s">
        <v>167</v>
      </c>
      <c r="C463" s="11" t="s">
        <v>145</v>
      </c>
      <c r="D463" s="11" t="s">
        <v>178</v>
      </c>
      <c r="E463" s="12" t="s">
        <v>161</v>
      </c>
      <c r="F463" s="37"/>
      <c r="G463" s="34"/>
      <c r="H463" s="72"/>
      <c r="I463" s="55"/>
      <c r="J463" s="56"/>
      <c r="K463" s="55"/>
      <c r="L463" s="55"/>
      <c r="M463" s="55"/>
      <c r="N463" s="207">
        <f>N464</f>
        <v>64.6</v>
      </c>
      <c r="O463" s="207">
        <f>O464</f>
        <v>64.6</v>
      </c>
      <c r="P463" s="261">
        <f t="shared" si="121"/>
        <v>100</v>
      </c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</row>
    <row r="464" spans="1:33" s="23" customFormat="1" ht="26.25">
      <c r="A464" s="153" t="s">
        <v>318</v>
      </c>
      <c r="B464" s="12" t="s">
        <v>167</v>
      </c>
      <c r="C464" s="11" t="s">
        <v>145</v>
      </c>
      <c r="D464" s="11" t="s">
        <v>178</v>
      </c>
      <c r="E464" s="12" t="s">
        <v>161</v>
      </c>
      <c r="F464" s="37" t="s">
        <v>316</v>
      </c>
      <c r="G464" s="34"/>
      <c r="H464" s="72"/>
      <c r="I464" s="55"/>
      <c r="J464" s="56"/>
      <c r="K464" s="55"/>
      <c r="L464" s="55"/>
      <c r="M464" s="55"/>
      <c r="N464" s="207">
        <f>N465</f>
        <v>64.6</v>
      </c>
      <c r="O464" s="207">
        <f>O465</f>
        <v>64.6</v>
      </c>
      <c r="P464" s="261">
        <f t="shared" si="121"/>
        <v>100</v>
      </c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</row>
    <row r="465" spans="1:33" s="23" customFormat="1" ht="15">
      <c r="A465" s="153" t="s">
        <v>211</v>
      </c>
      <c r="B465" s="12" t="s">
        <v>167</v>
      </c>
      <c r="C465" s="11" t="s">
        <v>145</v>
      </c>
      <c r="D465" s="11" t="s">
        <v>178</v>
      </c>
      <c r="E465" s="12" t="s">
        <v>161</v>
      </c>
      <c r="F465" s="37" t="s">
        <v>316</v>
      </c>
      <c r="G465" s="34">
        <v>2</v>
      </c>
      <c r="H465" s="72"/>
      <c r="I465" s="55"/>
      <c r="J465" s="56"/>
      <c r="K465" s="55"/>
      <c r="L465" s="55"/>
      <c r="M465" s="55"/>
      <c r="N465" s="218">
        <f>40+24.6</f>
        <v>64.6</v>
      </c>
      <c r="O465" s="218">
        <f>40+24.6</f>
        <v>64.6</v>
      </c>
      <c r="P465" s="261">
        <f t="shared" si="121"/>
        <v>100</v>
      </c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</row>
    <row r="466" spans="1:33" s="23" customFormat="1" ht="39">
      <c r="A466" s="5" t="s">
        <v>162</v>
      </c>
      <c r="B466" s="12" t="s">
        <v>167</v>
      </c>
      <c r="C466" s="11" t="s">
        <v>145</v>
      </c>
      <c r="D466" s="11" t="s">
        <v>178</v>
      </c>
      <c r="E466" s="12" t="s">
        <v>241</v>
      </c>
      <c r="F466" s="13"/>
      <c r="G466" s="34"/>
      <c r="H466" s="72"/>
      <c r="I466" s="55"/>
      <c r="J466" s="56"/>
      <c r="K466" s="55"/>
      <c r="L466" s="55"/>
      <c r="M466" s="55"/>
      <c r="N466" s="207">
        <f>N467</f>
        <v>6.5</v>
      </c>
      <c r="O466" s="207">
        <f>O467</f>
        <v>6.5</v>
      </c>
      <c r="P466" s="261">
        <f t="shared" si="121"/>
        <v>100</v>
      </c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</row>
    <row r="467" spans="1:33" s="23" customFormat="1" ht="26.25">
      <c r="A467" s="6" t="s">
        <v>318</v>
      </c>
      <c r="B467" s="12" t="s">
        <v>167</v>
      </c>
      <c r="C467" s="11" t="s">
        <v>145</v>
      </c>
      <c r="D467" s="11" t="s">
        <v>178</v>
      </c>
      <c r="E467" s="12" t="s">
        <v>241</v>
      </c>
      <c r="F467" s="13" t="s">
        <v>316</v>
      </c>
      <c r="G467" s="34"/>
      <c r="H467" s="72"/>
      <c r="I467" s="55"/>
      <c r="J467" s="56"/>
      <c r="K467" s="55"/>
      <c r="L467" s="55"/>
      <c r="M467" s="55"/>
      <c r="N467" s="207">
        <f>N468</f>
        <v>6.5</v>
      </c>
      <c r="O467" s="207">
        <f>O468</f>
        <v>6.5</v>
      </c>
      <c r="P467" s="261">
        <f t="shared" si="121"/>
        <v>100</v>
      </c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</row>
    <row r="468" spans="1:33" s="23" customFormat="1" ht="15">
      <c r="A468" s="6" t="s">
        <v>209</v>
      </c>
      <c r="B468" s="12" t="s">
        <v>167</v>
      </c>
      <c r="C468" s="11" t="s">
        <v>145</v>
      </c>
      <c r="D468" s="11" t="s">
        <v>178</v>
      </c>
      <c r="E468" s="12" t="s">
        <v>241</v>
      </c>
      <c r="F468" s="13" t="s">
        <v>316</v>
      </c>
      <c r="G468" s="34">
        <v>3</v>
      </c>
      <c r="H468" s="72"/>
      <c r="I468" s="55"/>
      <c r="J468" s="56"/>
      <c r="K468" s="55"/>
      <c r="L468" s="55"/>
      <c r="M468" s="55"/>
      <c r="N468" s="207">
        <v>6.5</v>
      </c>
      <c r="O468" s="207">
        <v>6.5</v>
      </c>
      <c r="P468" s="261">
        <f t="shared" si="121"/>
        <v>100</v>
      </c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</row>
    <row r="469" spans="1:16" ht="15">
      <c r="A469" s="3" t="s">
        <v>284</v>
      </c>
      <c r="B469" s="10" t="s">
        <v>167</v>
      </c>
      <c r="C469" s="10" t="s">
        <v>146</v>
      </c>
      <c r="D469" s="10">
        <v>0</v>
      </c>
      <c r="E469" s="10">
        <v>0</v>
      </c>
      <c r="F469" s="10">
        <v>0</v>
      </c>
      <c r="G469" s="34"/>
      <c r="H469" s="55" t="e">
        <f>H470+H508</f>
        <v>#REF!</v>
      </c>
      <c r="I469" s="55" t="e">
        <f>I470+I508</f>
        <v>#REF!</v>
      </c>
      <c r="J469" s="56" t="e">
        <f aca="true" t="shared" si="122" ref="J469:J481">I469-H469</f>
        <v>#REF!</v>
      </c>
      <c r="K469" s="55" t="e">
        <f>K470+K508</f>
        <v>#REF!</v>
      </c>
      <c r="L469" s="55" t="e">
        <f>L470+L508</f>
        <v>#REF!</v>
      </c>
      <c r="M469" s="55">
        <f>M470+M508</f>
        <v>5783.8</v>
      </c>
      <c r="N469" s="207">
        <f>N470+N508</f>
        <v>5373.006</v>
      </c>
      <c r="O469" s="207">
        <f>O470+O508</f>
        <v>5874.006</v>
      </c>
      <c r="P469" s="261">
        <f t="shared" si="121"/>
        <v>109.32438936416598</v>
      </c>
    </row>
    <row r="470" spans="1:16" ht="15">
      <c r="A470" s="4" t="s">
        <v>13</v>
      </c>
      <c r="B470" s="11" t="s">
        <v>167</v>
      </c>
      <c r="C470" s="11" t="s">
        <v>146</v>
      </c>
      <c r="D470" s="11" t="s">
        <v>181</v>
      </c>
      <c r="E470" s="11">
        <v>0</v>
      </c>
      <c r="F470" s="11"/>
      <c r="G470" s="34"/>
      <c r="H470" s="55" t="e">
        <f>#REF!+H489+H494+H502+H505+H471</f>
        <v>#REF!</v>
      </c>
      <c r="I470" s="55" t="e">
        <f>#REF!+I489+I494+I502+I505+I471</f>
        <v>#REF!</v>
      </c>
      <c r="J470" s="56" t="e">
        <f t="shared" si="122"/>
        <v>#REF!</v>
      </c>
      <c r="K470" s="55" t="e">
        <f>#REF!+K489+K494+K502+K505+K471</f>
        <v>#REF!</v>
      </c>
      <c r="L470" s="55" t="e">
        <f>#REF!+L489+L494+L502+L505+L471</f>
        <v>#REF!</v>
      </c>
      <c r="M470" s="55">
        <f>M471+M502+M489</f>
        <v>4976</v>
      </c>
      <c r="N470" s="207">
        <f>N471+N502+N489+N497</f>
        <v>4499.006</v>
      </c>
      <c r="O470" s="207">
        <f>O471+O502+O489+O497</f>
        <v>5000.006</v>
      </c>
      <c r="P470" s="261">
        <f t="shared" si="121"/>
        <v>111.13579310629949</v>
      </c>
    </row>
    <row r="471" spans="1:33" s="23" customFormat="1" ht="29.25">
      <c r="A471" s="4" t="s">
        <v>283</v>
      </c>
      <c r="B471" s="11" t="s">
        <v>167</v>
      </c>
      <c r="C471" s="11" t="s">
        <v>146</v>
      </c>
      <c r="D471" s="11" t="s">
        <v>181</v>
      </c>
      <c r="E471" s="13" t="s">
        <v>65</v>
      </c>
      <c r="F471" s="15"/>
      <c r="G471" s="34"/>
      <c r="H471" s="55">
        <f aca="true" t="shared" si="123" ref="H471:I473">H472</f>
        <v>7</v>
      </c>
      <c r="I471" s="55">
        <f t="shared" si="123"/>
        <v>0</v>
      </c>
      <c r="J471" s="56">
        <f t="shared" si="122"/>
        <v>-7</v>
      </c>
      <c r="K471" s="55">
        <f aca="true" t="shared" si="124" ref="K471:L473">K472</f>
        <v>0</v>
      </c>
      <c r="L471" s="55">
        <f t="shared" si="124"/>
        <v>0</v>
      </c>
      <c r="M471" s="55">
        <f>M472+M481</f>
        <v>2971</v>
      </c>
      <c r="N471" s="207">
        <f>N472+N481+N475+N478</f>
        <v>2767.606</v>
      </c>
      <c r="O471" s="207">
        <f>O472+O481+O475+O478</f>
        <v>2767.606</v>
      </c>
      <c r="P471" s="261">
        <f t="shared" si="121"/>
        <v>100</v>
      </c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</row>
    <row r="472" spans="1:33" s="23" customFormat="1" ht="51.75">
      <c r="A472" s="5" t="s">
        <v>282</v>
      </c>
      <c r="B472" s="11" t="s">
        <v>167</v>
      </c>
      <c r="C472" s="11" t="s">
        <v>146</v>
      </c>
      <c r="D472" s="11" t="s">
        <v>181</v>
      </c>
      <c r="E472" s="80" t="s">
        <v>281</v>
      </c>
      <c r="F472" s="15"/>
      <c r="G472" s="34"/>
      <c r="H472" s="55">
        <f t="shared" si="123"/>
        <v>7</v>
      </c>
      <c r="I472" s="55">
        <f t="shared" si="123"/>
        <v>0</v>
      </c>
      <c r="J472" s="56">
        <f t="shared" si="122"/>
        <v>-7</v>
      </c>
      <c r="K472" s="55">
        <f t="shared" si="124"/>
        <v>0</v>
      </c>
      <c r="L472" s="55">
        <f t="shared" si="124"/>
        <v>0</v>
      </c>
      <c r="M472" s="55">
        <f aca="true" t="shared" si="125" ref="M472:O473">M473</f>
        <v>36.2</v>
      </c>
      <c r="N472" s="207">
        <f t="shared" si="125"/>
        <v>35.3</v>
      </c>
      <c r="O472" s="207">
        <f t="shared" si="125"/>
        <v>35.3</v>
      </c>
      <c r="P472" s="261">
        <f t="shared" si="121"/>
        <v>100</v>
      </c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</row>
    <row r="473" spans="1:33" s="23" customFormat="1" ht="26.25">
      <c r="A473" s="6" t="s">
        <v>318</v>
      </c>
      <c r="B473" s="11" t="s">
        <v>167</v>
      </c>
      <c r="C473" s="11" t="s">
        <v>146</v>
      </c>
      <c r="D473" s="11" t="s">
        <v>181</v>
      </c>
      <c r="E473" s="80" t="s">
        <v>281</v>
      </c>
      <c r="F473" s="115" t="s">
        <v>316</v>
      </c>
      <c r="G473" s="34"/>
      <c r="H473" s="55">
        <f t="shared" si="123"/>
        <v>7</v>
      </c>
      <c r="I473" s="55">
        <f t="shared" si="123"/>
        <v>0</v>
      </c>
      <c r="J473" s="56">
        <f t="shared" si="122"/>
        <v>-7</v>
      </c>
      <c r="K473" s="55">
        <f t="shared" si="124"/>
        <v>0</v>
      </c>
      <c r="L473" s="55">
        <f t="shared" si="124"/>
        <v>0</v>
      </c>
      <c r="M473" s="55">
        <f t="shared" si="125"/>
        <v>36.2</v>
      </c>
      <c r="N473" s="207">
        <f t="shared" si="125"/>
        <v>35.3</v>
      </c>
      <c r="O473" s="207">
        <f t="shared" si="125"/>
        <v>35.3</v>
      </c>
      <c r="P473" s="261">
        <f t="shared" si="121"/>
        <v>100</v>
      </c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</row>
    <row r="474" spans="1:33" s="23" customFormat="1" ht="15">
      <c r="A474" s="6" t="s">
        <v>210</v>
      </c>
      <c r="B474" s="11" t="s">
        <v>167</v>
      </c>
      <c r="C474" s="11" t="s">
        <v>146</v>
      </c>
      <c r="D474" s="11" t="s">
        <v>181</v>
      </c>
      <c r="E474" s="80" t="s">
        <v>281</v>
      </c>
      <c r="F474" s="115" t="s">
        <v>316</v>
      </c>
      <c r="G474" s="34">
        <v>1</v>
      </c>
      <c r="H474" s="55">
        <v>7</v>
      </c>
      <c r="I474" s="55"/>
      <c r="J474" s="56">
        <f t="shared" si="122"/>
        <v>-7</v>
      </c>
      <c r="K474" s="55"/>
      <c r="L474" s="55"/>
      <c r="M474" s="55">
        <f>44.4-8.2</f>
        <v>36.2</v>
      </c>
      <c r="N474" s="207">
        <v>35.3</v>
      </c>
      <c r="O474" s="207">
        <v>35.3</v>
      </c>
      <c r="P474" s="261">
        <f t="shared" si="121"/>
        <v>100</v>
      </c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</row>
    <row r="475" spans="1:33" s="23" customFormat="1" ht="51.75">
      <c r="A475" s="107" t="s">
        <v>443</v>
      </c>
      <c r="B475" s="11" t="s">
        <v>167</v>
      </c>
      <c r="C475" s="11" t="s">
        <v>146</v>
      </c>
      <c r="D475" s="11" t="s">
        <v>181</v>
      </c>
      <c r="E475" s="80" t="s">
        <v>444</v>
      </c>
      <c r="F475" s="115"/>
      <c r="G475" s="34"/>
      <c r="H475" s="55"/>
      <c r="I475" s="55"/>
      <c r="J475" s="56"/>
      <c r="K475" s="55"/>
      <c r="L475" s="55"/>
      <c r="M475" s="55"/>
      <c r="N475" s="207">
        <f>N476</f>
        <v>100</v>
      </c>
      <c r="O475" s="207">
        <f>O476</f>
        <v>100</v>
      </c>
      <c r="P475" s="261">
        <f t="shared" si="121"/>
        <v>100</v>
      </c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</row>
    <row r="476" spans="1:33" s="23" customFormat="1" ht="26.25">
      <c r="A476" s="6" t="s">
        <v>318</v>
      </c>
      <c r="B476" s="11" t="s">
        <v>167</v>
      </c>
      <c r="C476" s="11" t="s">
        <v>146</v>
      </c>
      <c r="D476" s="11" t="s">
        <v>181</v>
      </c>
      <c r="E476" s="80" t="s">
        <v>444</v>
      </c>
      <c r="F476" s="115" t="s">
        <v>316</v>
      </c>
      <c r="G476" s="34"/>
      <c r="H476" s="55"/>
      <c r="I476" s="55"/>
      <c r="J476" s="56"/>
      <c r="K476" s="55"/>
      <c r="L476" s="55"/>
      <c r="M476" s="55"/>
      <c r="N476" s="207">
        <f>N477</f>
        <v>100</v>
      </c>
      <c r="O476" s="207">
        <f>O477</f>
        <v>100</v>
      </c>
      <c r="P476" s="261">
        <f t="shared" si="121"/>
        <v>100</v>
      </c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</row>
    <row r="477" spans="1:33" s="23" customFormat="1" ht="15">
      <c r="A477" s="6" t="s">
        <v>210</v>
      </c>
      <c r="B477" s="11" t="s">
        <v>167</v>
      </c>
      <c r="C477" s="11" t="s">
        <v>146</v>
      </c>
      <c r="D477" s="11" t="s">
        <v>181</v>
      </c>
      <c r="E477" s="80" t="s">
        <v>444</v>
      </c>
      <c r="F477" s="115" t="s">
        <v>316</v>
      </c>
      <c r="G477" s="34">
        <v>1</v>
      </c>
      <c r="H477" s="55"/>
      <c r="I477" s="55"/>
      <c r="J477" s="56"/>
      <c r="K477" s="55"/>
      <c r="L477" s="55"/>
      <c r="M477" s="55"/>
      <c r="N477" s="207">
        <v>100</v>
      </c>
      <c r="O477" s="207">
        <v>100</v>
      </c>
      <c r="P477" s="261">
        <f t="shared" si="121"/>
        <v>100</v>
      </c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</row>
    <row r="478" spans="1:33" s="23" customFormat="1" ht="51.75">
      <c r="A478" s="105" t="s">
        <v>446</v>
      </c>
      <c r="B478" s="11" t="s">
        <v>167</v>
      </c>
      <c r="C478" s="11" t="s">
        <v>146</v>
      </c>
      <c r="D478" s="11" t="s">
        <v>181</v>
      </c>
      <c r="E478" s="37" t="s">
        <v>445</v>
      </c>
      <c r="F478" s="115"/>
      <c r="G478" s="34"/>
      <c r="H478" s="55"/>
      <c r="I478" s="55"/>
      <c r="J478" s="56"/>
      <c r="K478" s="55"/>
      <c r="L478" s="55"/>
      <c r="M478" s="55"/>
      <c r="N478" s="207">
        <f>N479</f>
        <v>50</v>
      </c>
      <c r="O478" s="207">
        <f>O479</f>
        <v>50</v>
      </c>
      <c r="P478" s="261">
        <f t="shared" si="121"/>
        <v>100</v>
      </c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</row>
    <row r="479" spans="1:33" s="23" customFormat="1" ht="15">
      <c r="A479" s="51" t="s">
        <v>195</v>
      </c>
      <c r="B479" s="11" t="s">
        <v>167</v>
      </c>
      <c r="C479" s="11" t="s">
        <v>146</v>
      </c>
      <c r="D479" s="11" t="s">
        <v>181</v>
      </c>
      <c r="E479" s="80" t="s">
        <v>445</v>
      </c>
      <c r="F479" s="110" t="s">
        <v>376</v>
      </c>
      <c r="G479" s="34"/>
      <c r="H479" s="55"/>
      <c r="I479" s="55"/>
      <c r="J479" s="56"/>
      <c r="K479" s="55"/>
      <c r="L479" s="55"/>
      <c r="M479" s="55"/>
      <c r="N479" s="207">
        <f>N480</f>
        <v>50</v>
      </c>
      <c r="O479" s="207">
        <f>O480</f>
        <v>50</v>
      </c>
      <c r="P479" s="261">
        <f t="shared" si="121"/>
        <v>100</v>
      </c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</row>
    <row r="480" spans="1:33" s="23" customFormat="1" ht="15">
      <c r="A480" s="6" t="s">
        <v>210</v>
      </c>
      <c r="B480" s="11" t="s">
        <v>167</v>
      </c>
      <c r="C480" s="11" t="s">
        <v>146</v>
      </c>
      <c r="D480" s="11" t="s">
        <v>181</v>
      </c>
      <c r="E480" s="80" t="s">
        <v>445</v>
      </c>
      <c r="F480" s="110" t="s">
        <v>376</v>
      </c>
      <c r="G480" s="34">
        <v>1</v>
      </c>
      <c r="H480" s="55"/>
      <c r="I480" s="55"/>
      <c r="J480" s="56"/>
      <c r="K480" s="55"/>
      <c r="L480" s="55"/>
      <c r="M480" s="55"/>
      <c r="N480" s="207">
        <v>50</v>
      </c>
      <c r="O480" s="207">
        <v>50</v>
      </c>
      <c r="P480" s="261">
        <f t="shared" si="121"/>
        <v>100</v>
      </c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</row>
    <row r="481" spans="1:16" ht="26.25">
      <c r="A481" s="105" t="s">
        <v>343</v>
      </c>
      <c r="B481" s="11" t="s">
        <v>167</v>
      </c>
      <c r="C481" s="11" t="s">
        <v>146</v>
      </c>
      <c r="D481" s="11" t="s">
        <v>181</v>
      </c>
      <c r="E481" s="12" t="s">
        <v>43</v>
      </c>
      <c r="F481" s="12"/>
      <c r="G481" s="34"/>
      <c r="H481" s="55">
        <f>H483</f>
        <v>1607</v>
      </c>
      <c r="I481" s="55">
        <f>I483</f>
        <v>1930</v>
      </c>
      <c r="J481" s="56">
        <f t="shared" si="122"/>
        <v>323</v>
      </c>
      <c r="K481" s="55">
        <f>K483</f>
        <v>2969</v>
      </c>
      <c r="L481" s="55">
        <f>L483</f>
        <v>2969</v>
      </c>
      <c r="M481" s="55">
        <f>M482</f>
        <v>2934.8</v>
      </c>
      <c r="N481" s="207">
        <f>N482</f>
        <v>2582.306</v>
      </c>
      <c r="O481" s="207">
        <f>O482</f>
        <v>2582.306</v>
      </c>
      <c r="P481" s="261">
        <f t="shared" si="121"/>
        <v>100</v>
      </c>
    </row>
    <row r="482" spans="1:16" ht="26.25">
      <c r="A482" s="105" t="s">
        <v>341</v>
      </c>
      <c r="B482" s="11" t="s">
        <v>167</v>
      </c>
      <c r="C482" s="11" t="s">
        <v>146</v>
      </c>
      <c r="D482" s="11" t="s">
        <v>181</v>
      </c>
      <c r="E482" s="37" t="s">
        <v>342</v>
      </c>
      <c r="F482" s="12"/>
      <c r="G482" s="34"/>
      <c r="H482" s="55"/>
      <c r="I482" s="55"/>
      <c r="J482" s="56"/>
      <c r="K482" s="55"/>
      <c r="L482" s="55"/>
      <c r="M482" s="55">
        <f>M483+M486</f>
        <v>2934.8</v>
      </c>
      <c r="N482" s="207">
        <f>N483+N486</f>
        <v>2582.306</v>
      </c>
      <c r="O482" s="207">
        <f>O483+O486</f>
        <v>2582.306</v>
      </c>
      <c r="P482" s="261">
        <f t="shared" si="121"/>
        <v>100</v>
      </c>
    </row>
    <row r="483" spans="1:16" ht="64.5">
      <c r="A483" s="6" t="s">
        <v>319</v>
      </c>
      <c r="B483" s="11" t="s">
        <v>167</v>
      </c>
      <c r="C483" s="11" t="s">
        <v>146</v>
      </c>
      <c r="D483" s="11" t="s">
        <v>181</v>
      </c>
      <c r="E483" s="37" t="s">
        <v>342</v>
      </c>
      <c r="F483" s="13" t="s">
        <v>315</v>
      </c>
      <c r="G483" s="34"/>
      <c r="H483" s="55">
        <f>H484</f>
        <v>1607</v>
      </c>
      <c r="I483" s="55">
        <f>I484</f>
        <v>1930</v>
      </c>
      <c r="J483" s="56">
        <f>I483-H483</f>
        <v>323</v>
      </c>
      <c r="K483" s="55">
        <f>K484</f>
        <v>2969</v>
      </c>
      <c r="L483" s="55">
        <f>L484</f>
        <v>2969</v>
      </c>
      <c r="M483" s="55">
        <f>M484+M485</f>
        <v>2884.8</v>
      </c>
      <c r="N483" s="207">
        <f>N484+N485</f>
        <v>2511</v>
      </c>
      <c r="O483" s="207">
        <f>O484+O485</f>
        <v>2511</v>
      </c>
      <c r="P483" s="261">
        <f t="shared" si="121"/>
        <v>100</v>
      </c>
    </row>
    <row r="484" spans="1:33" s="23" customFormat="1" ht="15">
      <c r="A484" s="105" t="s">
        <v>317</v>
      </c>
      <c r="B484" s="11" t="s">
        <v>167</v>
      </c>
      <c r="C484" s="11" t="s">
        <v>146</v>
      </c>
      <c r="D484" s="11" t="s">
        <v>181</v>
      </c>
      <c r="E484" s="37" t="s">
        <v>342</v>
      </c>
      <c r="F484" s="13" t="s">
        <v>315</v>
      </c>
      <c r="G484" s="34">
        <v>3</v>
      </c>
      <c r="H484" s="55">
        <v>1607</v>
      </c>
      <c r="I484" s="55">
        <f>1800+130</f>
        <v>1930</v>
      </c>
      <c r="J484" s="56">
        <f>I484-H484</f>
        <v>323</v>
      </c>
      <c r="K484" s="55">
        <f>1800+130+1075-36</f>
        <v>2969</v>
      </c>
      <c r="L484" s="55">
        <f>1800+130+1075-36</f>
        <v>2969</v>
      </c>
      <c r="M484" s="55">
        <f>2767.5-57.7-85-50-450</f>
        <v>2124.8</v>
      </c>
      <c r="N484" s="207">
        <f>1000+50</f>
        <v>1050</v>
      </c>
      <c r="O484" s="207">
        <f>1000+50</f>
        <v>1050</v>
      </c>
      <c r="P484" s="261">
        <f t="shared" si="121"/>
        <v>100</v>
      </c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</row>
    <row r="485" spans="1:33" s="23" customFormat="1" ht="26.25">
      <c r="A485" s="105" t="s">
        <v>361</v>
      </c>
      <c r="B485" s="11" t="s">
        <v>167</v>
      </c>
      <c r="C485" s="11" t="s">
        <v>146</v>
      </c>
      <c r="D485" s="11" t="s">
        <v>181</v>
      </c>
      <c r="E485" s="37" t="s">
        <v>342</v>
      </c>
      <c r="F485" s="13" t="s">
        <v>315</v>
      </c>
      <c r="G485" s="34">
        <v>4</v>
      </c>
      <c r="H485" s="55"/>
      <c r="I485" s="55"/>
      <c r="J485" s="56"/>
      <c r="K485" s="55"/>
      <c r="L485" s="55"/>
      <c r="M485" s="55">
        <f>640+20+100</f>
        <v>760</v>
      </c>
      <c r="N485" s="207">
        <v>1461</v>
      </c>
      <c r="O485" s="207">
        <v>1461</v>
      </c>
      <c r="P485" s="261">
        <f t="shared" si="121"/>
        <v>100</v>
      </c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</row>
    <row r="486" spans="1:33" s="23" customFormat="1" ht="26.25">
      <c r="A486" s="6" t="s">
        <v>318</v>
      </c>
      <c r="B486" s="11" t="s">
        <v>167</v>
      </c>
      <c r="C486" s="11" t="s">
        <v>146</v>
      </c>
      <c r="D486" s="11" t="s">
        <v>181</v>
      </c>
      <c r="E486" s="37" t="s">
        <v>342</v>
      </c>
      <c r="F486" s="13" t="s">
        <v>316</v>
      </c>
      <c r="G486" s="34"/>
      <c r="H486" s="55"/>
      <c r="I486" s="55"/>
      <c r="J486" s="56"/>
      <c r="K486" s="55"/>
      <c r="L486" s="55"/>
      <c r="M486" s="55">
        <f>M487+M488</f>
        <v>50</v>
      </c>
      <c r="N486" s="207">
        <f>N487+N488</f>
        <v>71.306</v>
      </c>
      <c r="O486" s="207">
        <f>O487+O488</f>
        <v>71.306</v>
      </c>
      <c r="P486" s="261">
        <f t="shared" si="121"/>
        <v>100</v>
      </c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</row>
    <row r="487" spans="1:33" s="23" customFormat="1" ht="15">
      <c r="A487" s="105" t="s">
        <v>317</v>
      </c>
      <c r="B487" s="11" t="s">
        <v>167</v>
      </c>
      <c r="C487" s="11" t="s">
        <v>146</v>
      </c>
      <c r="D487" s="11" t="s">
        <v>181</v>
      </c>
      <c r="E487" s="37" t="s">
        <v>342</v>
      </c>
      <c r="F487" s="13" t="s">
        <v>316</v>
      </c>
      <c r="G487" s="34">
        <v>3</v>
      </c>
      <c r="H487" s="55"/>
      <c r="I487" s="55"/>
      <c r="J487" s="56"/>
      <c r="K487" s="55"/>
      <c r="L487" s="55"/>
      <c r="M487" s="55">
        <f>50-50</f>
        <v>0</v>
      </c>
      <c r="N487" s="207">
        <f>50-50</f>
        <v>0</v>
      </c>
      <c r="O487" s="207">
        <f>50-50</f>
        <v>0</v>
      </c>
      <c r="P487" s="261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</row>
    <row r="488" spans="1:33" s="23" customFormat="1" ht="26.25">
      <c r="A488" s="105" t="s">
        <v>361</v>
      </c>
      <c r="B488" s="11" t="s">
        <v>167</v>
      </c>
      <c r="C488" s="11" t="s">
        <v>146</v>
      </c>
      <c r="D488" s="11" t="s">
        <v>181</v>
      </c>
      <c r="E488" s="37" t="s">
        <v>342</v>
      </c>
      <c r="F488" s="13" t="s">
        <v>316</v>
      </c>
      <c r="G488" s="34">
        <v>4</v>
      </c>
      <c r="H488" s="55"/>
      <c r="I488" s="55"/>
      <c r="J488" s="56"/>
      <c r="K488" s="55"/>
      <c r="L488" s="55"/>
      <c r="M488" s="55">
        <f>100+50-100</f>
        <v>50</v>
      </c>
      <c r="N488" s="207">
        <f>71.306</f>
        <v>71.306</v>
      </c>
      <c r="O488" s="207">
        <f>71.306</f>
        <v>71.306</v>
      </c>
      <c r="P488" s="261">
        <f t="shared" si="121"/>
        <v>100</v>
      </c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</row>
    <row r="489" spans="1:16" ht="15">
      <c r="A489" s="5" t="s">
        <v>11</v>
      </c>
      <c r="B489" s="11" t="s">
        <v>167</v>
      </c>
      <c r="C489" s="11" t="s">
        <v>146</v>
      </c>
      <c r="D489" s="11" t="s">
        <v>181</v>
      </c>
      <c r="E489" s="12" t="s">
        <v>88</v>
      </c>
      <c r="F489" s="12"/>
      <c r="G489" s="34"/>
      <c r="H489" s="55">
        <f aca="true" t="shared" si="126" ref="H489:I491">H490</f>
        <v>1153</v>
      </c>
      <c r="I489" s="55">
        <f t="shared" si="126"/>
        <v>1500</v>
      </c>
      <c r="J489" s="56">
        <f>I489-H489</f>
        <v>347</v>
      </c>
      <c r="K489" s="55">
        <f aca="true" t="shared" si="127" ref="K489:L491">K490</f>
        <v>1615</v>
      </c>
      <c r="L489" s="55">
        <f t="shared" si="127"/>
        <v>1615</v>
      </c>
      <c r="M489" s="55">
        <f>M490</f>
        <v>2005</v>
      </c>
      <c r="N489" s="207">
        <f>N490</f>
        <v>1666</v>
      </c>
      <c r="O489" s="207">
        <f>O490</f>
        <v>1666</v>
      </c>
      <c r="P489" s="261">
        <f t="shared" si="121"/>
        <v>100</v>
      </c>
    </row>
    <row r="490" spans="1:16" ht="26.25">
      <c r="A490" s="105" t="s">
        <v>343</v>
      </c>
      <c r="B490" s="11" t="s">
        <v>167</v>
      </c>
      <c r="C490" s="11" t="s">
        <v>146</v>
      </c>
      <c r="D490" s="11" t="s">
        <v>181</v>
      </c>
      <c r="E490" s="12" t="s">
        <v>44</v>
      </c>
      <c r="F490" s="12"/>
      <c r="G490" s="34"/>
      <c r="H490" s="55">
        <f t="shared" si="126"/>
        <v>1153</v>
      </c>
      <c r="I490" s="55">
        <f t="shared" si="126"/>
        <v>1500</v>
      </c>
      <c r="J490" s="56">
        <f>I490-H490</f>
        <v>347</v>
      </c>
      <c r="K490" s="55">
        <f t="shared" si="127"/>
        <v>1615</v>
      </c>
      <c r="L490" s="55">
        <f t="shared" si="127"/>
        <v>1615</v>
      </c>
      <c r="M490" s="55">
        <f>M491+M494</f>
        <v>2005</v>
      </c>
      <c r="N490" s="207">
        <f>N491+N494</f>
        <v>1666</v>
      </c>
      <c r="O490" s="207">
        <f>O491+O494</f>
        <v>1666</v>
      </c>
      <c r="P490" s="261">
        <f t="shared" si="121"/>
        <v>100</v>
      </c>
    </row>
    <row r="491" spans="1:16" ht="64.5">
      <c r="A491" s="6" t="s">
        <v>319</v>
      </c>
      <c r="B491" s="11" t="s">
        <v>167</v>
      </c>
      <c r="C491" s="11" t="s">
        <v>146</v>
      </c>
      <c r="D491" s="11" t="s">
        <v>181</v>
      </c>
      <c r="E491" s="12" t="s">
        <v>44</v>
      </c>
      <c r="F491" s="13" t="s">
        <v>315</v>
      </c>
      <c r="G491" s="34"/>
      <c r="H491" s="55">
        <f t="shared" si="126"/>
        <v>1153</v>
      </c>
      <c r="I491" s="55">
        <f t="shared" si="126"/>
        <v>1500</v>
      </c>
      <c r="J491" s="56">
        <f>I491-H491</f>
        <v>347</v>
      </c>
      <c r="K491" s="55">
        <f t="shared" si="127"/>
        <v>1615</v>
      </c>
      <c r="L491" s="55">
        <f t="shared" si="127"/>
        <v>1615</v>
      </c>
      <c r="M491" s="55">
        <f>M492+M493</f>
        <v>1943.4</v>
      </c>
      <c r="N491" s="207">
        <f>N492+N493</f>
        <v>1636</v>
      </c>
      <c r="O491" s="207">
        <f>O492+O493</f>
        <v>1636</v>
      </c>
      <c r="P491" s="261">
        <f t="shared" si="121"/>
        <v>100</v>
      </c>
    </row>
    <row r="492" spans="1:33" s="23" customFormat="1" ht="15">
      <c r="A492" s="105" t="s">
        <v>317</v>
      </c>
      <c r="B492" s="11" t="s">
        <v>167</v>
      </c>
      <c r="C492" s="11" t="s">
        <v>146</v>
      </c>
      <c r="D492" s="11" t="s">
        <v>181</v>
      </c>
      <c r="E492" s="12" t="s">
        <v>44</v>
      </c>
      <c r="F492" s="13" t="s">
        <v>315</v>
      </c>
      <c r="G492" s="34">
        <v>3</v>
      </c>
      <c r="H492" s="72">
        <v>1153</v>
      </c>
      <c r="I492" s="55">
        <v>1500</v>
      </c>
      <c r="J492" s="56">
        <f>I492-H492</f>
        <v>347</v>
      </c>
      <c r="K492" s="55">
        <f>1500+175-60</f>
        <v>1615</v>
      </c>
      <c r="L492" s="55">
        <f>1500+175-60</f>
        <v>1615</v>
      </c>
      <c r="M492" s="55">
        <f>1958.4-45-165-133.4-11.6+100</f>
        <v>1703.4</v>
      </c>
      <c r="N492" s="207">
        <f>848+360</f>
        <v>1208</v>
      </c>
      <c r="O492" s="207">
        <f>848+360</f>
        <v>1208</v>
      </c>
      <c r="P492" s="261">
        <f t="shared" si="121"/>
        <v>100</v>
      </c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</row>
    <row r="493" spans="1:33" s="23" customFormat="1" ht="26.25">
      <c r="A493" s="105" t="s">
        <v>361</v>
      </c>
      <c r="B493" s="11" t="s">
        <v>167</v>
      </c>
      <c r="C493" s="11" t="s">
        <v>146</v>
      </c>
      <c r="D493" s="11" t="s">
        <v>181</v>
      </c>
      <c r="E493" s="12" t="s">
        <v>44</v>
      </c>
      <c r="F493" s="13" t="s">
        <v>315</v>
      </c>
      <c r="G493" s="34">
        <v>4</v>
      </c>
      <c r="H493" s="72"/>
      <c r="I493" s="55"/>
      <c r="J493" s="56"/>
      <c r="K493" s="55"/>
      <c r="L493" s="55"/>
      <c r="M493" s="55">
        <v>240</v>
      </c>
      <c r="N493" s="207">
        <v>428</v>
      </c>
      <c r="O493" s="207">
        <v>428</v>
      </c>
      <c r="P493" s="261">
        <f t="shared" si="121"/>
        <v>100</v>
      </c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</row>
    <row r="494" spans="1:16" ht="26.25">
      <c r="A494" s="6" t="s">
        <v>318</v>
      </c>
      <c r="B494" s="11" t="s">
        <v>167</v>
      </c>
      <c r="C494" s="11" t="s">
        <v>146</v>
      </c>
      <c r="D494" s="11" t="s">
        <v>181</v>
      </c>
      <c r="E494" s="12" t="s">
        <v>44</v>
      </c>
      <c r="F494" s="13" t="s">
        <v>316</v>
      </c>
      <c r="G494" s="34"/>
      <c r="H494" s="55" t="e">
        <f>H495</f>
        <v>#REF!</v>
      </c>
      <c r="I494" s="55" t="e">
        <f>I495</f>
        <v>#REF!</v>
      </c>
      <c r="J494" s="56" t="e">
        <f aca="true" t="shared" si="128" ref="J494:J506">I494-H494</f>
        <v>#REF!</v>
      </c>
      <c r="K494" s="55" t="e">
        <f>K495</f>
        <v>#REF!</v>
      </c>
      <c r="L494" s="55" t="e">
        <f>L495</f>
        <v>#REF!</v>
      </c>
      <c r="M494" s="55">
        <f>M495+M496</f>
        <v>61.6</v>
      </c>
      <c r="N494" s="207">
        <f>N495+N496</f>
        <v>30</v>
      </c>
      <c r="O494" s="207">
        <f>O495+O496</f>
        <v>30</v>
      </c>
      <c r="P494" s="261">
        <f t="shared" si="121"/>
        <v>100</v>
      </c>
    </row>
    <row r="495" spans="1:16" ht="15">
      <c r="A495" s="105" t="s">
        <v>317</v>
      </c>
      <c r="B495" s="11" t="s">
        <v>167</v>
      </c>
      <c r="C495" s="11" t="s">
        <v>146</v>
      </c>
      <c r="D495" s="11" t="s">
        <v>181</v>
      </c>
      <c r="E495" s="12" t="s">
        <v>44</v>
      </c>
      <c r="F495" s="13" t="s">
        <v>316</v>
      </c>
      <c r="G495" s="34">
        <v>3</v>
      </c>
      <c r="H495" s="55" t="e">
        <f>H496</f>
        <v>#REF!</v>
      </c>
      <c r="I495" s="55" t="e">
        <f>I496</f>
        <v>#REF!</v>
      </c>
      <c r="J495" s="56" t="e">
        <f t="shared" si="128"/>
        <v>#REF!</v>
      </c>
      <c r="K495" s="55" t="e">
        <f>K496</f>
        <v>#REF!</v>
      </c>
      <c r="L495" s="55" t="e">
        <f>L496</f>
        <v>#REF!</v>
      </c>
      <c r="M495" s="55">
        <v>11.6</v>
      </c>
      <c r="N495" s="207"/>
      <c r="O495" s="207"/>
      <c r="P495" s="261"/>
    </row>
    <row r="496" spans="1:16" ht="26.25">
      <c r="A496" s="105" t="s">
        <v>361</v>
      </c>
      <c r="B496" s="11" t="s">
        <v>167</v>
      </c>
      <c r="C496" s="11" t="s">
        <v>146</v>
      </c>
      <c r="D496" s="11" t="s">
        <v>181</v>
      </c>
      <c r="E496" s="12" t="s">
        <v>44</v>
      </c>
      <c r="F496" s="13" t="s">
        <v>316</v>
      </c>
      <c r="G496" s="34">
        <v>4</v>
      </c>
      <c r="H496" s="55" t="e">
        <f>#REF!</f>
        <v>#REF!</v>
      </c>
      <c r="I496" s="55" t="e">
        <f>#REF!</f>
        <v>#REF!</v>
      </c>
      <c r="J496" s="56" t="e">
        <f t="shared" si="128"/>
        <v>#REF!</v>
      </c>
      <c r="K496" s="55" t="e">
        <f>#REF!</f>
        <v>#REF!</v>
      </c>
      <c r="L496" s="55" t="e">
        <f>#REF!</f>
        <v>#REF!</v>
      </c>
      <c r="M496" s="55">
        <f>50</f>
        <v>50</v>
      </c>
      <c r="N496" s="207">
        <v>30</v>
      </c>
      <c r="O496" s="207">
        <v>30</v>
      </c>
      <c r="P496" s="261">
        <f t="shared" si="121"/>
        <v>100</v>
      </c>
    </row>
    <row r="497" spans="1:16" ht="64.5">
      <c r="A497" s="105" t="s">
        <v>451</v>
      </c>
      <c r="B497" s="11" t="s">
        <v>167</v>
      </c>
      <c r="C497" s="11" t="s">
        <v>146</v>
      </c>
      <c r="D497" s="11" t="s">
        <v>181</v>
      </c>
      <c r="E497" s="37" t="s">
        <v>452</v>
      </c>
      <c r="F497" s="13"/>
      <c r="G497" s="34"/>
      <c r="H497" s="55"/>
      <c r="I497" s="55"/>
      <c r="J497" s="56"/>
      <c r="K497" s="55"/>
      <c r="L497" s="55"/>
      <c r="M497" s="55"/>
      <c r="N497" s="207">
        <f>N498+N500</f>
        <v>0</v>
      </c>
      <c r="O497" s="207">
        <f>O498+O500</f>
        <v>501</v>
      </c>
      <c r="P497" s="261"/>
    </row>
    <row r="498" spans="1:16" ht="15">
      <c r="A498" s="51" t="s">
        <v>195</v>
      </c>
      <c r="B498" s="11" t="s">
        <v>167</v>
      </c>
      <c r="C498" s="11" t="s">
        <v>146</v>
      </c>
      <c r="D498" s="11" t="s">
        <v>181</v>
      </c>
      <c r="E498" s="37" t="s">
        <v>452</v>
      </c>
      <c r="F498" s="13" t="s">
        <v>376</v>
      </c>
      <c r="G498" s="34"/>
      <c r="H498" s="55"/>
      <c r="I498" s="55"/>
      <c r="J498" s="56"/>
      <c r="K498" s="55"/>
      <c r="L498" s="55"/>
      <c r="M498" s="55"/>
      <c r="N498" s="207">
        <f>N499</f>
        <v>0</v>
      </c>
      <c r="O498" s="207">
        <f>O499</f>
        <v>344.704</v>
      </c>
      <c r="P498" s="261"/>
    </row>
    <row r="499" spans="1:16" ht="15">
      <c r="A499" s="153" t="s">
        <v>211</v>
      </c>
      <c r="B499" s="11" t="s">
        <v>167</v>
      </c>
      <c r="C499" s="11" t="s">
        <v>146</v>
      </c>
      <c r="D499" s="11" t="s">
        <v>181</v>
      </c>
      <c r="E499" s="37" t="s">
        <v>452</v>
      </c>
      <c r="F499" s="13" t="s">
        <v>376</v>
      </c>
      <c r="G499" s="34">
        <v>2</v>
      </c>
      <c r="H499" s="55"/>
      <c r="I499" s="55"/>
      <c r="J499" s="56"/>
      <c r="K499" s="55"/>
      <c r="L499" s="55"/>
      <c r="M499" s="55"/>
      <c r="N499" s="207"/>
      <c r="O499" s="207">
        <v>344.704</v>
      </c>
      <c r="P499" s="261"/>
    </row>
    <row r="500" spans="1:16" ht="64.5">
      <c r="A500" s="6" t="s">
        <v>319</v>
      </c>
      <c r="B500" s="11" t="s">
        <v>167</v>
      </c>
      <c r="C500" s="11" t="s">
        <v>146</v>
      </c>
      <c r="D500" s="11" t="s">
        <v>181</v>
      </c>
      <c r="E500" s="37" t="s">
        <v>452</v>
      </c>
      <c r="F500" s="13" t="s">
        <v>315</v>
      </c>
      <c r="G500" s="34"/>
      <c r="H500" s="55"/>
      <c r="I500" s="55"/>
      <c r="J500" s="56"/>
      <c r="K500" s="55"/>
      <c r="L500" s="55"/>
      <c r="M500" s="55"/>
      <c r="N500" s="207">
        <f>N501</f>
        <v>0</v>
      </c>
      <c r="O500" s="207">
        <f>O501</f>
        <v>156.296</v>
      </c>
      <c r="P500" s="261"/>
    </row>
    <row r="501" spans="1:16" ht="15">
      <c r="A501" s="153" t="s">
        <v>211</v>
      </c>
      <c r="B501" s="11" t="s">
        <v>167</v>
      </c>
      <c r="C501" s="11" t="s">
        <v>146</v>
      </c>
      <c r="D501" s="11" t="s">
        <v>181</v>
      </c>
      <c r="E501" s="37" t="s">
        <v>452</v>
      </c>
      <c r="F501" s="13" t="s">
        <v>315</v>
      </c>
      <c r="G501" s="34">
        <v>2</v>
      </c>
      <c r="H501" s="55"/>
      <c r="I501" s="55"/>
      <c r="J501" s="56"/>
      <c r="K501" s="55"/>
      <c r="L501" s="55"/>
      <c r="M501" s="55"/>
      <c r="N501" s="207"/>
      <c r="O501" s="207">
        <v>156.296</v>
      </c>
      <c r="P501" s="261"/>
    </row>
    <row r="502" spans="1:16" ht="39">
      <c r="A502" s="105" t="s">
        <v>377</v>
      </c>
      <c r="B502" s="11" t="s">
        <v>167</v>
      </c>
      <c r="C502" s="11" t="s">
        <v>146</v>
      </c>
      <c r="D502" s="11" t="s">
        <v>181</v>
      </c>
      <c r="E502" s="12" t="s">
        <v>161</v>
      </c>
      <c r="F502" s="13"/>
      <c r="G502" s="34"/>
      <c r="H502" s="55">
        <f>H503</f>
        <v>160</v>
      </c>
      <c r="I502" s="55">
        <f>I503</f>
        <v>0</v>
      </c>
      <c r="J502" s="56">
        <f t="shared" si="128"/>
        <v>-160</v>
      </c>
      <c r="K502" s="55">
        <f aca="true" t="shared" si="129" ref="K502:O503">K503</f>
        <v>0</v>
      </c>
      <c r="L502" s="55">
        <f t="shared" si="129"/>
        <v>200</v>
      </c>
      <c r="M502" s="55">
        <f t="shared" si="129"/>
        <v>0</v>
      </c>
      <c r="N502" s="207">
        <f t="shared" si="129"/>
        <v>65.4</v>
      </c>
      <c r="O502" s="207">
        <f t="shared" si="129"/>
        <v>65.4</v>
      </c>
      <c r="P502" s="261">
        <f t="shared" si="121"/>
        <v>100</v>
      </c>
    </row>
    <row r="503" spans="1:16" ht="26.25">
      <c r="A503" s="6" t="s">
        <v>318</v>
      </c>
      <c r="B503" s="11" t="s">
        <v>167</v>
      </c>
      <c r="C503" s="11" t="s">
        <v>146</v>
      </c>
      <c r="D503" s="11" t="s">
        <v>181</v>
      </c>
      <c r="E503" s="12" t="s">
        <v>161</v>
      </c>
      <c r="F503" s="13" t="s">
        <v>316</v>
      </c>
      <c r="G503" s="34"/>
      <c r="H503" s="55">
        <f>H504</f>
        <v>160</v>
      </c>
      <c r="I503" s="55">
        <f>I504</f>
        <v>0</v>
      </c>
      <c r="J503" s="56">
        <f t="shared" si="128"/>
        <v>-160</v>
      </c>
      <c r="K503" s="55">
        <f t="shared" si="129"/>
        <v>0</v>
      </c>
      <c r="L503" s="55">
        <f t="shared" si="129"/>
        <v>200</v>
      </c>
      <c r="M503" s="55">
        <f t="shared" si="129"/>
        <v>0</v>
      </c>
      <c r="N503" s="207">
        <f t="shared" si="129"/>
        <v>65.4</v>
      </c>
      <c r="O503" s="207">
        <f t="shared" si="129"/>
        <v>65.4</v>
      </c>
      <c r="P503" s="261">
        <f t="shared" si="121"/>
        <v>100</v>
      </c>
    </row>
    <row r="504" spans="1:33" s="68" customFormat="1" ht="14.25" customHeight="1">
      <c r="A504" s="6" t="s">
        <v>211</v>
      </c>
      <c r="B504" s="11" t="s">
        <v>167</v>
      </c>
      <c r="C504" s="11" t="s">
        <v>146</v>
      </c>
      <c r="D504" s="11" t="s">
        <v>181</v>
      </c>
      <c r="E504" s="12" t="s">
        <v>161</v>
      </c>
      <c r="F504" s="13" t="s">
        <v>316</v>
      </c>
      <c r="G504" s="34">
        <v>2</v>
      </c>
      <c r="H504" s="55">
        <v>160</v>
      </c>
      <c r="I504" s="55"/>
      <c r="J504" s="56">
        <f t="shared" si="128"/>
        <v>-160</v>
      </c>
      <c r="K504" s="55"/>
      <c r="L504" s="55">
        <v>200</v>
      </c>
      <c r="M504" s="55"/>
      <c r="N504" s="218">
        <f>90-24.6</f>
        <v>65.4</v>
      </c>
      <c r="O504" s="218">
        <f>90-24.6</f>
        <v>65.4</v>
      </c>
      <c r="P504" s="261">
        <f t="shared" si="121"/>
        <v>100</v>
      </c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</row>
    <row r="505" spans="1:16" ht="39" customHeight="1">
      <c r="A505" s="5" t="s">
        <v>162</v>
      </c>
      <c r="B505" s="11" t="s">
        <v>167</v>
      </c>
      <c r="C505" s="11" t="s">
        <v>146</v>
      </c>
      <c r="D505" s="11" t="s">
        <v>181</v>
      </c>
      <c r="E505" s="12" t="s">
        <v>241</v>
      </c>
      <c r="F505" s="13"/>
      <c r="G505" s="34"/>
      <c r="H505" s="55">
        <f>H506</f>
        <v>32</v>
      </c>
      <c r="I505" s="55">
        <f>I506</f>
        <v>0</v>
      </c>
      <c r="J505" s="56">
        <f t="shared" si="128"/>
        <v>-32</v>
      </c>
      <c r="K505" s="55">
        <f aca="true" t="shared" si="130" ref="K505:O506">K506</f>
        <v>0</v>
      </c>
      <c r="L505" s="55">
        <f t="shared" si="130"/>
        <v>0</v>
      </c>
      <c r="M505" s="55">
        <f t="shared" si="130"/>
        <v>0</v>
      </c>
      <c r="N505" s="207">
        <f t="shared" si="130"/>
        <v>0</v>
      </c>
      <c r="O505" s="207">
        <f t="shared" si="130"/>
        <v>0</v>
      </c>
      <c r="P505" s="261"/>
    </row>
    <row r="506" spans="1:16" ht="26.25" customHeight="1">
      <c r="A506" s="6" t="s">
        <v>318</v>
      </c>
      <c r="B506" s="11" t="s">
        <v>167</v>
      </c>
      <c r="C506" s="11" t="s">
        <v>146</v>
      </c>
      <c r="D506" s="11" t="s">
        <v>181</v>
      </c>
      <c r="E506" s="12" t="s">
        <v>241</v>
      </c>
      <c r="F506" s="13" t="s">
        <v>316</v>
      </c>
      <c r="G506" s="34"/>
      <c r="H506" s="55">
        <f>H507</f>
        <v>32</v>
      </c>
      <c r="I506" s="55">
        <f>I507</f>
        <v>0</v>
      </c>
      <c r="J506" s="56">
        <f t="shared" si="128"/>
        <v>-32</v>
      </c>
      <c r="K506" s="55">
        <f t="shared" si="130"/>
        <v>0</v>
      </c>
      <c r="L506" s="55">
        <f t="shared" si="130"/>
        <v>0</v>
      </c>
      <c r="M506" s="55">
        <f t="shared" si="130"/>
        <v>0</v>
      </c>
      <c r="N506" s="207">
        <f t="shared" si="130"/>
        <v>0</v>
      </c>
      <c r="O506" s="207">
        <f t="shared" si="130"/>
        <v>0</v>
      </c>
      <c r="P506" s="261"/>
    </row>
    <row r="507" spans="1:33" s="23" customFormat="1" ht="15" customHeight="1">
      <c r="A507" s="105" t="s">
        <v>317</v>
      </c>
      <c r="B507" s="11" t="s">
        <v>167</v>
      </c>
      <c r="C507" s="11" t="s">
        <v>146</v>
      </c>
      <c r="D507" s="11" t="s">
        <v>181</v>
      </c>
      <c r="E507" s="12" t="s">
        <v>241</v>
      </c>
      <c r="F507" s="13" t="s">
        <v>316</v>
      </c>
      <c r="G507" s="34">
        <v>3</v>
      </c>
      <c r="H507" s="55">
        <v>32</v>
      </c>
      <c r="I507" s="55"/>
      <c r="J507" s="56"/>
      <c r="K507" s="55"/>
      <c r="L507" s="55"/>
      <c r="M507" s="55"/>
      <c r="N507" s="207"/>
      <c r="O507" s="207"/>
      <c r="P507" s="261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</row>
    <row r="508" spans="1:16" ht="43.5">
      <c r="A508" s="4" t="s">
        <v>123</v>
      </c>
      <c r="B508" s="11" t="s">
        <v>167</v>
      </c>
      <c r="C508" s="11" t="s">
        <v>146</v>
      </c>
      <c r="D508" s="11" t="s">
        <v>253</v>
      </c>
      <c r="E508" s="11">
        <v>0</v>
      </c>
      <c r="F508" s="11"/>
      <c r="G508" s="34"/>
      <c r="H508" s="55">
        <f>H509+H517+H513</f>
        <v>1067.4</v>
      </c>
      <c r="I508" s="55">
        <f>I509+I517+I513</f>
        <v>1080.4</v>
      </c>
      <c r="J508" s="56">
        <f aca="true" t="shared" si="131" ref="J508:J529">I508-H508</f>
        <v>13</v>
      </c>
      <c r="K508" s="55">
        <f>K509+K517+K513</f>
        <v>1080.4</v>
      </c>
      <c r="L508" s="55">
        <f>L509+L517+L513</f>
        <v>1080.4</v>
      </c>
      <c r="M508" s="55">
        <f>M509+M517+M513</f>
        <v>807.8</v>
      </c>
      <c r="N508" s="207">
        <f>N509+N517+N513+N521</f>
        <v>874</v>
      </c>
      <c r="O508" s="207">
        <f>O509+O517+O513+O521</f>
        <v>874</v>
      </c>
      <c r="P508" s="261">
        <f t="shared" si="121"/>
        <v>100</v>
      </c>
    </row>
    <row r="509" spans="1:16" ht="64.5">
      <c r="A509" s="5" t="s">
        <v>1</v>
      </c>
      <c r="B509" s="11" t="s">
        <v>167</v>
      </c>
      <c r="C509" s="11" t="s">
        <v>146</v>
      </c>
      <c r="D509" s="11" t="s">
        <v>253</v>
      </c>
      <c r="E509" s="12" t="s">
        <v>0</v>
      </c>
      <c r="F509" s="12"/>
      <c r="G509" s="34"/>
      <c r="H509" s="55">
        <f aca="true" t="shared" si="132" ref="H509:I511">H510</f>
        <v>767.4</v>
      </c>
      <c r="I509" s="55">
        <f t="shared" si="132"/>
        <v>711.4</v>
      </c>
      <c r="J509" s="56">
        <f t="shared" si="131"/>
        <v>-56</v>
      </c>
      <c r="K509" s="55">
        <f aca="true" t="shared" si="133" ref="K509:L511">K510</f>
        <v>711.4</v>
      </c>
      <c r="L509" s="55">
        <f t="shared" si="133"/>
        <v>711.4</v>
      </c>
      <c r="M509" s="55">
        <f aca="true" t="shared" si="134" ref="M509:O511">M510</f>
        <v>510.79999999999995</v>
      </c>
      <c r="N509" s="207">
        <f t="shared" si="134"/>
        <v>546.2</v>
      </c>
      <c r="O509" s="207">
        <f t="shared" si="134"/>
        <v>546.2</v>
      </c>
      <c r="P509" s="261">
        <f t="shared" si="121"/>
        <v>100</v>
      </c>
    </row>
    <row r="510" spans="1:16" ht="15">
      <c r="A510" s="5" t="s">
        <v>86</v>
      </c>
      <c r="B510" s="11" t="s">
        <v>167</v>
      </c>
      <c r="C510" s="11" t="s">
        <v>146</v>
      </c>
      <c r="D510" s="11" t="s">
        <v>253</v>
      </c>
      <c r="E510" s="12" t="s">
        <v>2</v>
      </c>
      <c r="F510" s="12"/>
      <c r="G510" s="34"/>
      <c r="H510" s="55">
        <f t="shared" si="132"/>
        <v>767.4</v>
      </c>
      <c r="I510" s="55">
        <f t="shared" si="132"/>
        <v>711.4</v>
      </c>
      <c r="J510" s="56">
        <f t="shared" si="131"/>
        <v>-56</v>
      </c>
      <c r="K510" s="55">
        <f t="shared" si="133"/>
        <v>711.4</v>
      </c>
      <c r="L510" s="55">
        <f t="shared" si="133"/>
        <v>711.4</v>
      </c>
      <c r="M510" s="55">
        <f t="shared" si="134"/>
        <v>510.79999999999995</v>
      </c>
      <c r="N510" s="207">
        <f t="shared" si="134"/>
        <v>546.2</v>
      </c>
      <c r="O510" s="207">
        <f t="shared" si="134"/>
        <v>546.2</v>
      </c>
      <c r="P510" s="261">
        <f t="shared" si="121"/>
        <v>100</v>
      </c>
    </row>
    <row r="511" spans="1:16" ht="26.25">
      <c r="A511" s="6" t="s">
        <v>97</v>
      </c>
      <c r="B511" s="11" t="s">
        <v>167</v>
      </c>
      <c r="C511" s="11" t="s">
        <v>146</v>
      </c>
      <c r="D511" s="11" t="s">
        <v>253</v>
      </c>
      <c r="E511" s="12" t="s">
        <v>2</v>
      </c>
      <c r="F511" s="13" t="s">
        <v>323</v>
      </c>
      <c r="G511" s="34"/>
      <c r="H511" s="55">
        <f t="shared" si="132"/>
        <v>767.4</v>
      </c>
      <c r="I511" s="55">
        <f t="shared" si="132"/>
        <v>711.4</v>
      </c>
      <c r="J511" s="56">
        <f t="shared" si="131"/>
        <v>-56</v>
      </c>
      <c r="K511" s="55">
        <f t="shared" si="133"/>
        <v>711.4</v>
      </c>
      <c r="L511" s="55">
        <f t="shared" si="133"/>
        <v>711.4</v>
      </c>
      <c r="M511" s="55">
        <f t="shared" si="134"/>
        <v>510.79999999999995</v>
      </c>
      <c r="N511" s="207">
        <f t="shared" si="134"/>
        <v>546.2</v>
      </c>
      <c r="O511" s="207">
        <f t="shared" si="134"/>
        <v>546.2</v>
      </c>
      <c r="P511" s="261">
        <f t="shared" si="121"/>
        <v>100</v>
      </c>
    </row>
    <row r="512" spans="1:33" s="23" customFormat="1" ht="15">
      <c r="A512" s="6" t="s">
        <v>209</v>
      </c>
      <c r="B512" s="11" t="s">
        <v>167</v>
      </c>
      <c r="C512" s="11" t="s">
        <v>146</v>
      </c>
      <c r="D512" s="11" t="s">
        <v>253</v>
      </c>
      <c r="E512" s="12" t="s">
        <v>2</v>
      </c>
      <c r="F512" s="13" t="s">
        <v>323</v>
      </c>
      <c r="G512" s="34">
        <v>3</v>
      </c>
      <c r="H512" s="72">
        <v>767.4</v>
      </c>
      <c r="I512" s="55">
        <f>767.4-56</f>
        <v>711.4</v>
      </c>
      <c r="J512" s="56">
        <f t="shared" si="131"/>
        <v>-56</v>
      </c>
      <c r="K512" s="55">
        <f>767.4-56</f>
        <v>711.4</v>
      </c>
      <c r="L512" s="55">
        <f>767.4-56</f>
        <v>711.4</v>
      </c>
      <c r="M512" s="55">
        <f>556.5-15-57.7+27+297-297</f>
        <v>510.79999999999995</v>
      </c>
      <c r="N512" s="207">
        <f>505.9+30.6+9.7</f>
        <v>546.2</v>
      </c>
      <c r="O512" s="207">
        <f>505.9+30.6+9.7</f>
        <v>546.2</v>
      </c>
      <c r="P512" s="261">
        <f t="shared" si="121"/>
        <v>100</v>
      </c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</row>
    <row r="513" spans="1:33" s="23" customFormat="1" ht="15" customHeight="1">
      <c r="A513" s="4" t="s">
        <v>101</v>
      </c>
      <c r="B513" s="11" t="s">
        <v>167</v>
      </c>
      <c r="C513" s="11" t="s">
        <v>146</v>
      </c>
      <c r="D513" s="11" t="s">
        <v>253</v>
      </c>
      <c r="E513" s="12" t="s">
        <v>102</v>
      </c>
      <c r="F513" s="15"/>
      <c r="G513" s="34"/>
      <c r="H513" s="55">
        <f aca="true" t="shared" si="135" ref="H513:I515">H514</f>
        <v>10</v>
      </c>
      <c r="I513" s="55">
        <f t="shared" si="135"/>
        <v>0</v>
      </c>
      <c r="J513" s="56">
        <f t="shared" si="131"/>
        <v>-10</v>
      </c>
      <c r="K513" s="55">
        <f aca="true" t="shared" si="136" ref="K513:L515">K514</f>
        <v>0</v>
      </c>
      <c r="L513" s="55">
        <f t="shared" si="136"/>
        <v>0</v>
      </c>
      <c r="M513" s="55">
        <f aca="true" t="shared" si="137" ref="M513:O515">M514</f>
        <v>0</v>
      </c>
      <c r="N513" s="207">
        <f t="shared" si="137"/>
        <v>0</v>
      </c>
      <c r="O513" s="207">
        <f t="shared" si="137"/>
        <v>0</v>
      </c>
      <c r="P513" s="261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</row>
    <row r="514" spans="1:33" s="23" customFormat="1" ht="15" customHeight="1">
      <c r="A514" s="5" t="s">
        <v>104</v>
      </c>
      <c r="B514" s="11" t="s">
        <v>167</v>
      </c>
      <c r="C514" s="11" t="s">
        <v>146</v>
      </c>
      <c r="D514" s="11" t="s">
        <v>253</v>
      </c>
      <c r="E514" s="13" t="s">
        <v>103</v>
      </c>
      <c r="F514" s="15"/>
      <c r="G514" s="34"/>
      <c r="H514" s="55">
        <f t="shared" si="135"/>
        <v>10</v>
      </c>
      <c r="I514" s="55">
        <f t="shared" si="135"/>
        <v>0</v>
      </c>
      <c r="J514" s="56">
        <f t="shared" si="131"/>
        <v>-10</v>
      </c>
      <c r="K514" s="55">
        <f t="shared" si="136"/>
        <v>0</v>
      </c>
      <c r="L514" s="55">
        <f t="shared" si="136"/>
        <v>0</v>
      </c>
      <c r="M514" s="55">
        <f t="shared" si="137"/>
        <v>0</v>
      </c>
      <c r="N514" s="207">
        <f t="shared" si="137"/>
        <v>0</v>
      </c>
      <c r="O514" s="207">
        <f t="shared" si="137"/>
        <v>0</v>
      </c>
      <c r="P514" s="261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</row>
    <row r="515" spans="1:33" s="23" customFormat="1" ht="26.25" customHeight="1">
      <c r="A515" s="6" t="s">
        <v>97</v>
      </c>
      <c r="B515" s="11" t="s">
        <v>167</v>
      </c>
      <c r="C515" s="11" t="s">
        <v>146</v>
      </c>
      <c r="D515" s="11" t="s">
        <v>253</v>
      </c>
      <c r="E515" s="13" t="s">
        <v>103</v>
      </c>
      <c r="F515" s="13" t="s">
        <v>323</v>
      </c>
      <c r="G515" s="34"/>
      <c r="H515" s="55">
        <f t="shared" si="135"/>
        <v>10</v>
      </c>
      <c r="I515" s="55">
        <f t="shared" si="135"/>
        <v>0</v>
      </c>
      <c r="J515" s="56">
        <f t="shared" si="131"/>
        <v>-10</v>
      </c>
      <c r="K515" s="55">
        <f t="shared" si="136"/>
        <v>0</v>
      </c>
      <c r="L515" s="55">
        <f t="shared" si="136"/>
        <v>0</v>
      </c>
      <c r="M515" s="55">
        <f t="shared" si="137"/>
        <v>0</v>
      </c>
      <c r="N515" s="207">
        <f t="shared" si="137"/>
        <v>0</v>
      </c>
      <c r="O515" s="207">
        <f t="shared" si="137"/>
        <v>0</v>
      </c>
      <c r="P515" s="261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</row>
    <row r="516" spans="1:33" s="23" customFormat="1" ht="15" customHeight="1">
      <c r="A516" s="6" t="s">
        <v>209</v>
      </c>
      <c r="B516" s="11" t="s">
        <v>167</v>
      </c>
      <c r="C516" s="11" t="s">
        <v>146</v>
      </c>
      <c r="D516" s="11" t="s">
        <v>253</v>
      </c>
      <c r="E516" s="13" t="s">
        <v>103</v>
      </c>
      <c r="F516" s="13" t="s">
        <v>323</v>
      </c>
      <c r="G516" s="34">
        <v>3</v>
      </c>
      <c r="H516" s="55">
        <v>10</v>
      </c>
      <c r="I516" s="55"/>
      <c r="J516" s="56">
        <f t="shared" si="131"/>
        <v>-10</v>
      </c>
      <c r="K516" s="55"/>
      <c r="L516" s="55"/>
      <c r="M516" s="55"/>
      <c r="N516" s="207"/>
      <c r="O516" s="207"/>
      <c r="P516" s="261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</row>
    <row r="517" spans="1:16" ht="77.25">
      <c r="A517" s="5" t="s">
        <v>8</v>
      </c>
      <c r="B517" s="11" t="s">
        <v>167</v>
      </c>
      <c r="C517" s="11" t="s">
        <v>146</v>
      </c>
      <c r="D517" s="11" t="s">
        <v>253</v>
      </c>
      <c r="E517" s="12" t="s">
        <v>9</v>
      </c>
      <c r="F517" s="12"/>
      <c r="G517" s="34"/>
      <c r="H517" s="55">
        <f>H521</f>
        <v>290</v>
      </c>
      <c r="I517" s="55">
        <f>I521</f>
        <v>369</v>
      </c>
      <c r="J517" s="56">
        <f t="shared" si="131"/>
        <v>79</v>
      </c>
      <c r="K517" s="55">
        <f>K521</f>
        <v>369</v>
      </c>
      <c r="L517" s="55">
        <f>L521</f>
        <v>369</v>
      </c>
      <c r="M517" s="55">
        <f>M521+M518</f>
        <v>297</v>
      </c>
      <c r="N517" s="207">
        <f>N518</f>
        <v>327.8</v>
      </c>
      <c r="O517" s="207">
        <f>O518</f>
        <v>327.8</v>
      </c>
      <c r="P517" s="261">
        <f t="shared" si="121"/>
        <v>100</v>
      </c>
    </row>
    <row r="518" spans="1:16" ht="26.25">
      <c r="A518" s="105" t="s">
        <v>373</v>
      </c>
      <c r="B518" s="11" t="s">
        <v>167</v>
      </c>
      <c r="C518" s="11" t="s">
        <v>146</v>
      </c>
      <c r="D518" s="11" t="s">
        <v>253</v>
      </c>
      <c r="E518" s="37" t="s">
        <v>372</v>
      </c>
      <c r="F518" s="12"/>
      <c r="G518" s="34"/>
      <c r="H518" s="55"/>
      <c r="I518" s="55"/>
      <c r="J518" s="56"/>
      <c r="K518" s="55"/>
      <c r="L518" s="55"/>
      <c r="M518" s="55">
        <f aca="true" t="shared" si="138" ref="M518:O519">M519</f>
        <v>297</v>
      </c>
      <c r="N518" s="207">
        <f t="shared" si="138"/>
        <v>327.8</v>
      </c>
      <c r="O518" s="207">
        <f t="shared" si="138"/>
        <v>327.8</v>
      </c>
      <c r="P518" s="261">
        <f t="shared" si="121"/>
        <v>100</v>
      </c>
    </row>
    <row r="519" spans="1:16" ht="26.25">
      <c r="A519" s="6" t="s">
        <v>97</v>
      </c>
      <c r="B519" s="11" t="s">
        <v>167</v>
      </c>
      <c r="C519" s="11" t="s">
        <v>146</v>
      </c>
      <c r="D519" s="11" t="s">
        <v>253</v>
      </c>
      <c r="E519" s="37" t="s">
        <v>372</v>
      </c>
      <c r="F519" s="13" t="s">
        <v>323</v>
      </c>
      <c r="G519" s="34"/>
      <c r="H519" s="55"/>
      <c r="I519" s="55"/>
      <c r="J519" s="56"/>
      <c r="K519" s="55"/>
      <c r="L519" s="55"/>
      <c r="M519" s="55">
        <f t="shared" si="138"/>
        <v>297</v>
      </c>
      <c r="N519" s="207">
        <f t="shared" si="138"/>
        <v>327.8</v>
      </c>
      <c r="O519" s="207">
        <f t="shared" si="138"/>
        <v>327.8</v>
      </c>
      <c r="P519" s="261">
        <f t="shared" si="121"/>
        <v>100</v>
      </c>
    </row>
    <row r="520" spans="1:16" ht="15">
      <c r="A520" s="6" t="s">
        <v>209</v>
      </c>
      <c r="B520" s="11" t="s">
        <v>167</v>
      </c>
      <c r="C520" s="11" t="s">
        <v>146</v>
      </c>
      <c r="D520" s="11" t="s">
        <v>253</v>
      </c>
      <c r="E520" s="37" t="s">
        <v>372</v>
      </c>
      <c r="F520" s="13" t="s">
        <v>323</v>
      </c>
      <c r="G520" s="34">
        <v>3</v>
      </c>
      <c r="H520" s="55"/>
      <c r="I520" s="55"/>
      <c r="J520" s="56"/>
      <c r="K520" s="55"/>
      <c r="L520" s="55"/>
      <c r="M520" s="55">
        <v>297</v>
      </c>
      <c r="N520" s="207">
        <f>321.5+6.3</f>
        <v>327.8</v>
      </c>
      <c r="O520" s="207">
        <f>321.5+6.3</f>
        <v>327.8</v>
      </c>
      <c r="P520" s="261">
        <f t="shared" si="121"/>
        <v>100</v>
      </c>
    </row>
    <row r="521" spans="1:16" ht="26.25" customHeight="1" hidden="1">
      <c r="A521" s="51" t="s">
        <v>221</v>
      </c>
      <c r="B521" s="11" t="s">
        <v>167</v>
      </c>
      <c r="C521" s="11" t="s">
        <v>146</v>
      </c>
      <c r="D521" s="11" t="s">
        <v>253</v>
      </c>
      <c r="E521" s="37" t="s">
        <v>156</v>
      </c>
      <c r="F521" s="12"/>
      <c r="G521" s="34"/>
      <c r="H521" s="55">
        <f>H522</f>
        <v>290</v>
      </c>
      <c r="I521" s="55">
        <f>I522</f>
        <v>369</v>
      </c>
      <c r="J521" s="56">
        <f t="shared" si="131"/>
        <v>79</v>
      </c>
      <c r="K521" s="55">
        <f>K522</f>
        <v>369</v>
      </c>
      <c r="L521" s="55">
        <f>L522</f>
        <v>369</v>
      </c>
      <c r="M521" s="55">
        <f>M522+M524</f>
        <v>0</v>
      </c>
      <c r="N521" s="207">
        <f>N522+N524</f>
        <v>0</v>
      </c>
      <c r="O521" s="207">
        <f>O522+O524</f>
        <v>0</v>
      </c>
      <c r="P521" s="261" t="e">
        <f t="shared" si="121"/>
        <v>#DIV/0!</v>
      </c>
    </row>
    <row r="522" spans="1:16" ht="39" customHeight="1" hidden="1">
      <c r="A522" s="6" t="s">
        <v>389</v>
      </c>
      <c r="B522" s="11" t="s">
        <v>167</v>
      </c>
      <c r="C522" s="11" t="s">
        <v>146</v>
      </c>
      <c r="D522" s="11" t="s">
        <v>253</v>
      </c>
      <c r="E522" s="124" t="s">
        <v>156</v>
      </c>
      <c r="F522" s="13" t="s">
        <v>315</v>
      </c>
      <c r="G522" s="34"/>
      <c r="H522" s="55">
        <f>H523</f>
        <v>290</v>
      </c>
      <c r="I522" s="55">
        <f>I523</f>
        <v>369</v>
      </c>
      <c r="J522" s="56">
        <f t="shared" si="131"/>
        <v>79</v>
      </c>
      <c r="K522" s="55">
        <f>K523</f>
        <v>369</v>
      </c>
      <c r="L522" s="55">
        <f>L523</f>
        <v>369</v>
      </c>
      <c r="M522" s="55">
        <f>M523</f>
        <v>0</v>
      </c>
      <c r="N522" s="207">
        <f>N523</f>
        <v>0</v>
      </c>
      <c r="O522" s="207">
        <f>O523</f>
        <v>0</v>
      </c>
      <c r="P522" s="261" t="e">
        <f t="shared" si="121"/>
        <v>#DIV/0!</v>
      </c>
    </row>
    <row r="523" spans="1:33" s="23" customFormat="1" ht="15" customHeight="1" hidden="1">
      <c r="A523" s="105" t="s">
        <v>317</v>
      </c>
      <c r="B523" s="11" t="s">
        <v>167</v>
      </c>
      <c r="C523" s="11" t="s">
        <v>146</v>
      </c>
      <c r="D523" s="11" t="s">
        <v>253</v>
      </c>
      <c r="E523" s="124" t="s">
        <v>156</v>
      </c>
      <c r="F523" s="13" t="s">
        <v>315</v>
      </c>
      <c r="G523" s="34">
        <v>3</v>
      </c>
      <c r="H523" s="72">
        <v>290</v>
      </c>
      <c r="I523" s="55">
        <v>369</v>
      </c>
      <c r="J523" s="56">
        <f t="shared" si="131"/>
        <v>79</v>
      </c>
      <c r="K523" s="55">
        <v>369</v>
      </c>
      <c r="L523" s="55">
        <v>369</v>
      </c>
      <c r="M523" s="55">
        <f>397-397</f>
        <v>0</v>
      </c>
      <c r="N523" s="207">
        <f>5802-5802</f>
        <v>0</v>
      </c>
      <c r="O523" s="207">
        <f>5802-5802</f>
        <v>0</v>
      </c>
      <c r="P523" s="261" t="e">
        <f t="shared" si="121"/>
        <v>#DIV/0!</v>
      </c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</row>
    <row r="524" spans="1:33" s="23" customFormat="1" ht="26.25" customHeight="1" hidden="1">
      <c r="A524" s="6" t="s">
        <v>318</v>
      </c>
      <c r="B524" s="11" t="s">
        <v>167</v>
      </c>
      <c r="C524" s="11" t="s">
        <v>146</v>
      </c>
      <c r="D524" s="11" t="s">
        <v>253</v>
      </c>
      <c r="E524" s="124" t="s">
        <v>156</v>
      </c>
      <c r="F524" s="13" t="s">
        <v>316</v>
      </c>
      <c r="G524" s="34"/>
      <c r="H524" s="72"/>
      <c r="I524" s="55"/>
      <c r="J524" s="56"/>
      <c r="K524" s="55"/>
      <c r="L524" s="55"/>
      <c r="M524" s="55">
        <f>M525</f>
        <v>0</v>
      </c>
      <c r="N524" s="207">
        <f>N525</f>
        <v>0</v>
      </c>
      <c r="O524" s="207">
        <f>O525</f>
        <v>0</v>
      </c>
      <c r="P524" s="261" t="e">
        <f t="shared" si="121"/>
        <v>#DIV/0!</v>
      </c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</row>
    <row r="525" spans="1:33" s="23" customFormat="1" ht="15" customHeight="1" hidden="1">
      <c r="A525" s="105" t="s">
        <v>317</v>
      </c>
      <c r="B525" s="11" t="s">
        <v>167</v>
      </c>
      <c r="C525" s="11" t="s">
        <v>146</v>
      </c>
      <c r="D525" s="11" t="s">
        <v>253</v>
      </c>
      <c r="E525" s="124" t="s">
        <v>156</v>
      </c>
      <c r="F525" s="13" t="s">
        <v>316</v>
      </c>
      <c r="G525" s="34">
        <v>3</v>
      </c>
      <c r="H525" s="72"/>
      <c r="I525" s="55"/>
      <c r="J525" s="56"/>
      <c r="K525" s="55"/>
      <c r="L525" s="55"/>
      <c r="M525" s="55"/>
      <c r="N525" s="207"/>
      <c r="O525" s="207"/>
      <c r="P525" s="261" t="e">
        <f t="shared" si="121"/>
        <v>#DIV/0!</v>
      </c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</row>
    <row r="526" spans="1:16" ht="29.25">
      <c r="A526" s="48" t="s">
        <v>157</v>
      </c>
      <c r="B526" s="11" t="s">
        <v>167</v>
      </c>
      <c r="C526" s="11" t="s">
        <v>148</v>
      </c>
      <c r="D526" s="10" t="s">
        <v>174</v>
      </c>
      <c r="E526" s="49" t="s">
        <v>158</v>
      </c>
      <c r="F526" s="49"/>
      <c r="G526" s="34"/>
      <c r="H526" s="55">
        <f aca="true" t="shared" si="139" ref="H526:I528">H527</f>
        <v>1000</v>
      </c>
      <c r="I526" s="55">
        <f t="shared" si="139"/>
        <v>0</v>
      </c>
      <c r="J526" s="56">
        <f t="shared" si="131"/>
        <v>-1000</v>
      </c>
      <c r="K526" s="55">
        <f aca="true" t="shared" si="140" ref="K526:L528">K527</f>
        <v>96</v>
      </c>
      <c r="L526" s="55">
        <f t="shared" si="140"/>
        <v>96</v>
      </c>
      <c r="M526" s="55">
        <f aca="true" t="shared" si="141" ref="M526:O527">M527</f>
        <v>250</v>
      </c>
      <c r="N526" s="207">
        <f t="shared" si="141"/>
        <v>213.69400000000002</v>
      </c>
      <c r="O526" s="207">
        <f t="shared" si="141"/>
        <v>213.69400000000002</v>
      </c>
      <c r="P526" s="261">
        <f t="shared" si="121"/>
        <v>100</v>
      </c>
    </row>
    <row r="527" spans="1:16" ht="29.25">
      <c r="A527" s="48" t="s">
        <v>159</v>
      </c>
      <c r="B527" s="12" t="s">
        <v>167</v>
      </c>
      <c r="C527" s="11" t="s">
        <v>148</v>
      </c>
      <c r="D527" s="10" t="s">
        <v>174</v>
      </c>
      <c r="E527" s="49" t="s">
        <v>160</v>
      </c>
      <c r="F527" s="49"/>
      <c r="G527" s="34"/>
      <c r="H527" s="55">
        <f t="shared" si="139"/>
        <v>1000</v>
      </c>
      <c r="I527" s="55">
        <f t="shared" si="139"/>
        <v>0</v>
      </c>
      <c r="J527" s="56">
        <f t="shared" si="131"/>
        <v>-1000</v>
      </c>
      <c r="K527" s="55">
        <f t="shared" si="140"/>
        <v>96</v>
      </c>
      <c r="L527" s="55">
        <f t="shared" si="140"/>
        <v>96</v>
      </c>
      <c r="M527" s="55">
        <f t="shared" si="141"/>
        <v>250</v>
      </c>
      <c r="N527" s="207">
        <f t="shared" si="141"/>
        <v>213.69400000000002</v>
      </c>
      <c r="O527" s="207">
        <f t="shared" si="141"/>
        <v>213.69400000000002</v>
      </c>
      <c r="P527" s="261">
        <f t="shared" si="121"/>
        <v>100</v>
      </c>
    </row>
    <row r="528" spans="1:16" ht="39">
      <c r="A528" s="6" t="s">
        <v>348</v>
      </c>
      <c r="B528" s="12" t="s">
        <v>167</v>
      </c>
      <c r="C528" s="11" t="s">
        <v>148</v>
      </c>
      <c r="D528" s="10" t="s">
        <v>174</v>
      </c>
      <c r="E528" s="49" t="s">
        <v>160</v>
      </c>
      <c r="F528" s="49" t="s">
        <v>347</v>
      </c>
      <c r="G528" s="34"/>
      <c r="H528" s="55">
        <f t="shared" si="139"/>
        <v>1000</v>
      </c>
      <c r="I528" s="55">
        <f t="shared" si="139"/>
        <v>0</v>
      </c>
      <c r="J528" s="56">
        <f t="shared" si="131"/>
        <v>-1000</v>
      </c>
      <c r="K528" s="55">
        <f t="shared" si="140"/>
        <v>96</v>
      </c>
      <c r="L528" s="55">
        <f t="shared" si="140"/>
        <v>96</v>
      </c>
      <c r="M528" s="55">
        <f>M529+M530</f>
        <v>250</v>
      </c>
      <c r="N528" s="207">
        <f>N529+N530</f>
        <v>213.69400000000002</v>
      </c>
      <c r="O528" s="207">
        <f>O529+O530</f>
        <v>213.69400000000002</v>
      </c>
      <c r="P528" s="261">
        <f t="shared" si="121"/>
        <v>100</v>
      </c>
    </row>
    <row r="529" spans="1:33" s="23" customFormat="1" ht="15">
      <c r="A529" s="6" t="s">
        <v>209</v>
      </c>
      <c r="B529" s="12" t="s">
        <v>167</v>
      </c>
      <c r="C529" s="11" t="s">
        <v>148</v>
      </c>
      <c r="D529" s="10" t="s">
        <v>174</v>
      </c>
      <c r="E529" s="49" t="s">
        <v>160</v>
      </c>
      <c r="F529" s="49" t="s">
        <v>347</v>
      </c>
      <c r="G529" s="34">
        <v>3</v>
      </c>
      <c r="H529" s="55">
        <v>1000</v>
      </c>
      <c r="I529" s="55"/>
      <c r="J529" s="56">
        <f t="shared" si="131"/>
        <v>-1000</v>
      </c>
      <c r="K529" s="55">
        <f>36+60</f>
        <v>96</v>
      </c>
      <c r="L529" s="55">
        <f>36+60</f>
        <v>96</v>
      </c>
      <c r="M529" s="55">
        <f>165+85-150</f>
        <v>100</v>
      </c>
      <c r="N529" s="207">
        <v>110</v>
      </c>
      <c r="O529" s="207">
        <v>110</v>
      </c>
      <c r="P529" s="261">
        <f>O529/N529*100</f>
        <v>100</v>
      </c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</row>
    <row r="530" spans="1:16" ht="27" customHeight="1">
      <c r="A530" s="105" t="s">
        <v>361</v>
      </c>
      <c r="B530" s="12" t="s">
        <v>167</v>
      </c>
      <c r="C530" s="11" t="s">
        <v>148</v>
      </c>
      <c r="D530" s="10" t="s">
        <v>174</v>
      </c>
      <c r="E530" s="49" t="s">
        <v>160</v>
      </c>
      <c r="F530" s="49" t="s">
        <v>347</v>
      </c>
      <c r="G530" s="34">
        <v>4</v>
      </c>
      <c r="H530" s="60" t="e">
        <f>#REF!</f>
        <v>#REF!</v>
      </c>
      <c r="I530" s="60" t="e">
        <f>#REF!</f>
        <v>#REF!</v>
      </c>
      <c r="J530" s="56" t="e">
        <f>I530-H530</f>
        <v>#REF!</v>
      </c>
      <c r="K530" s="60" t="e">
        <f>#REF!</f>
        <v>#REF!</v>
      </c>
      <c r="L530" s="60" t="e">
        <f>#REF!</f>
        <v>#REF!</v>
      </c>
      <c r="M530" s="60">
        <f>85+65</f>
        <v>150</v>
      </c>
      <c r="N530" s="222">
        <f>175-71.306</f>
        <v>103.694</v>
      </c>
      <c r="O530" s="222">
        <f>175-71.306</f>
        <v>103.694</v>
      </c>
      <c r="P530" s="261">
        <f>O530/N530*100</f>
        <v>100</v>
      </c>
    </row>
    <row r="531" spans="1:18" s="32" customFormat="1" ht="15.75" customHeight="1">
      <c r="A531" s="35" t="s">
        <v>149</v>
      </c>
      <c r="B531" s="30"/>
      <c r="C531" s="12"/>
      <c r="D531" s="12"/>
      <c r="E531" s="30"/>
      <c r="F531" s="30"/>
      <c r="G531" s="31"/>
      <c r="H531" s="67" t="e">
        <f>H11+H23+H259+H307+#REF!+#REF!+H454+#REF!+#REF!+#REF!+#REF!</f>
        <v>#REF!</v>
      </c>
      <c r="I531" s="67" t="e">
        <f>I11+I23+I259+I307+#REF!+#REF!+I454+#REF!+#REF!</f>
        <v>#REF!</v>
      </c>
      <c r="J531" s="56" t="e">
        <f>I531-H531</f>
        <v>#REF!</v>
      </c>
      <c r="K531" s="67" t="e">
        <f>K11+K23+K259+K307+#REF!+#REF!+K454+#REF!+#REF!</f>
        <v>#REF!</v>
      </c>
      <c r="L531" s="67" t="e">
        <f>L11+L23+L259+L307+#REF!+#REF!+L454+#REF!+#REF!</f>
        <v>#REF!</v>
      </c>
      <c r="M531" s="67" t="e">
        <f>M11+M23+M259+M307+#REF!+#REF!+M454+#REF!+#REF!</f>
        <v>#REF!</v>
      </c>
      <c r="N531" s="209">
        <f>N11+N23+N259+N307+N454</f>
        <v>308073.22118</v>
      </c>
      <c r="O531" s="209">
        <f>O11+O23+O259+O307+O454</f>
        <v>310575.01015000005</v>
      </c>
      <c r="P531" s="261">
        <f>O531/N531*100</f>
        <v>100.81207609035852</v>
      </c>
      <c r="Q531" s="144">
        <v>217335.157</v>
      </c>
      <c r="R531" s="143">
        <f>Q531-O531</f>
        <v>-93239.85315000004</v>
      </c>
    </row>
    <row r="533" spans="5:16" ht="12.75">
      <c r="E533" s="22" t="s">
        <v>349</v>
      </c>
      <c r="M533" s="53" t="e">
        <f>#REF!+M115+M122+#REF!+M205+M270+M351+M444+M474</f>
        <v>#REF!</v>
      </c>
      <c r="N533" s="210">
        <f>N101+N94+N115+N122+N164+N190+N195+N205+N225+N270+N274+N351+N444+N474+N233+N127+N200+N346+N418+N153+N477+N480</f>
        <v>56261.47984000001</v>
      </c>
      <c r="O533" s="210">
        <f>O101+O94+O115+O122+O164+O190+O195+O205+O225+O270+O274+O351+O444+O474+O233+O127+O200+O346+O418+O153+O477+O480</f>
        <v>58138.982670000005</v>
      </c>
      <c r="P533" s="210" t="e">
        <f>P101+P94+P115+P122+P164+P190+P195+P205+P225+P270+P274+P351+P444+P474+P233+P127+P200+P346+P418+P153+P477+P480</f>
        <v>#DIV/0!</v>
      </c>
    </row>
    <row r="534" spans="5:16" ht="12.75">
      <c r="E534" s="22" t="s">
        <v>350</v>
      </c>
      <c r="M534" s="53" t="e">
        <f>M44+M47+M50+M117+M123+#REF!+M226+M230+M243+M246+M249+M253+M284+M355+M361+#REF!+#REF!+M450+M445+M196+M358+M379+M439</f>
        <v>#REF!</v>
      </c>
      <c r="N534" s="53">
        <f>N44+N47+N50+N102+N95+N117+N123+N165+N191+N196+N226+N230+N243+N246+N249+N253+N276+N284+N292+N296+N319+N355+N358+N361+N371+N379+N413++N439+N445+N450+N504+N352+N433+N234+N365+N322+N419+N465+N128+N201+N54+N154+N238+N329</f>
        <v>153137.75220999998</v>
      </c>
      <c r="O534" s="210">
        <f>O44+O47+O50+O102+O95+O117+O123+O165+O191+O196+O226+O230+O243+O246+O249+O253+O276+O284+O292+O296+O319+O355+O358+O361+O371+O379+O413++O439+O445+O450+O504+O352+O433+O234+O365+O322+O419+O465+O128+O201+O54+O154+O238+O329</f>
        <v>153039.41350999998</v>
      </c>
      <c r="P534" s="210" t="e">
        <f>P44+P47+P50+P102+P95+P117+P123+P165+P191+P196+P226+P230+P243+P246+P249+P253+P276+P284+P292+P296+P319+P355+P358+P361+P371+P379+P413++P439+P445+P450+P504+P352+P433+P234+P365+P322+P419+P465+P128+P201+P54+P154+P238</f>
        <v>#DIV/0!</v>
      </c>
    </row>
    <row r="535" spans="5:16" ht="12.75">
      <c r="E535" s="22" t="s">
        <v>351</v>
      </c>
      <c r="M535" s="53" t="e">
        <f>M17+M22+M29+M34+M40+M59+M77+M88+M107+M118+M124+M133+M137+M147+M160+M175+M181+M192+#REF!+M209+M212+M216+M258+M265+M288+M313+M315+M334+M336+M340+M342+#REF!+M390+M394+M401+M403+M424+M453+M460+M462+M484+M487+M492+M495+M512+M523+M525+M529</f>
        <v>#REF!</v>
      </c>
      <c r="N535" s="210">
        <f>N17+N22+N29+N34+N40+N59+N77+N88+N107+N118+N124+N133+N137+N147+N160+N175+N181+N192+N209+N212+N216+N258+N265+N288+N313+N315+N334+N336+N340+N342+N390+N394+N401+N403+N424+N453+N460+N462+N484+N487+N492+N495+N512+N523+N525+N529+N63+N141+N197+N383+N83+N166+N277+N306+N385+N398+N520+N66+N69+N72+N220+N96+N103+N111+N427+N430+N434+N302+N374+N468+N185+N299+N325+N368+N507+N516+N407+N409+N420+N347+N202+N155+N169+N129</f>
        <v>93937.33213000001</v>
      </c>
      <c r="O535" s="210">
        <f>O17+O22+O29+O34+O40+O59+O77+O88+O107+O118+O124+O133+O137+O147+O160+O175+O181+O192+O209+O212+O216+O258+O265+O288+O313+O315+O334+O336+O340+O342+O390+O394+O401+O403+O424+O453+O460+O462+O484+O487+O492+O495+O512+O523+O525+O529+O63+O141+O197+O383+O83+O166+O277+O306+O385+O398+O520+O66+O69+O72+O220+O96+O103+O111+O427+O430+O434+O302+O374+O468+O185+O299+O325+O368+O507+O516+O407+O409+O420+O347+O202+O155+O169+O129</f>
        <v>93470.03912</v>
      </c>
      <c r="P535" s="210" t="e">
        <f>P17+P22+P29+P34+P40+P59+P77+P88+P107+P118+P124+P133+P137+P147+P160+P175+P181+P192+P209+P212+P216+P258+P265+P288+P313+P315+P334+P336+P340+P342+P390+P394+P401+P403+P424+P453+P460+P462+P484+P487+P492+P495+P512+P523+P525+P529+P63+P141+P197+P383+P83+P166+P277+P306+P385+P398+P520+P66+P69+P72+P220+P96+P103+P111+P427+P430+P434+P302+P374+P468+P185+P299+P325+P368+P507+P516+P407+P409+P420+P347+P202+P155+P169+P129</f>
        <v>#DIV/0!</v>
      </c>
    </row>
    <row r="536" spans="5:16" ht="12.75">
      <c r="E536" s="22" t="s">
        <v>362</v>
      </c>
      <c r="M536" s="53">
        <f>M485+M488+M493+M496+M530</f>
        <v>1250</v>
      </c>
      <c r="N536" s="53">
        <f>N485+N488+N493+N496+N530+N97+N104+N89+N130</f>
        <v>4736.656999999999</v>
      </c>
      <c r="O536" s="210">
        <f>O485+O488+O493+O496+O530+O97+O104+O89+O130</f>
        <v>5425.57485</v>
      </c>
      <c r="P536" s="53">
        <f>P485+P488+P493+P496+P530+P97+P104+P89+P130</f>
        <v>995.437256622738</v>
      </c>
    </row>
    <row r="537" spans="5:16" ht="12.75">
      <c r="E537" s="22" t="s">
        <v>352</v>
      </c>
      <c r="M537" s="53" t="e">
        <f>M533+M534+M535+M536</f>
        <v>#REF!</v>
      </c>
      <c r="N537" s="53">
        <f>N533+N534+N535+N536</f>
        <v>308073.22118</v>
      </c>
      <c r="O537" s="53">
        <f>O533+O534+O535+O536</f>
        <v>310074.01015</v>
      </c>
      <c r="P537" s="53" t="e">
        <f>P533+P534+P535+P536</f>
        <v>#DIV/0!</v>
      </c>
    </row>
    <row r="538" spans="13:16" ht="12.75">
      <c r="M538" s="53" t="e">
        <f>M531-M537</f>
        <v>#REF!</v>
      </c>
      <c r="N538" s="53">
        <f>N537-N531</f>
        <v>0</v>
      </c>
      <c r="O538" s="53">
        <f>O537-O531</f>
        <v>-501.0000000000582</v>
      </c>
      <c r="P538" s="53" t="e">
        <f>P537-P531</f>
        <v>#DIV/0!</v>
      </c>
    </row>
    <row r="539" spans="5:15" ht="12.75">
      <c r="E539" s="22" t="s">
        <v>391</v>
      </c>
      <c r="N539" s="20">
        <v>226207.757</v>
      </c>
      <c r="O539" s="20">
        <f>256681.913+538.456</f>
        <v>257220.369</v>
      </c>
    </row>
    <row r="540" spans="14:16" ht="12.75">
      <c r="N540" s="53">
        <f>N539-N537</f>
        <v>-81865.46417999998</v>
      </c>
      <c r="O540" s="53">
        <f>O539-O537</f>
        <v>-52853.64114999998</v>
      </c>
      <c r="P540" s="53" t="e">
        <f>P539-P537</f>
        <v>#DIV/0!</v>
      </c>
    </row>
    <row r="543" spans="4:16" ht="12.75">
      <c r="D543" s="22" t="s">
        <v>402</v>
      </c>
      <c r="E543" s="22" t="s">
        <v>349</v>
      </c>
      <c r="N543" s="53">
        <f>N351+N444</f>
        <v>1114.3000000000002</v>
      </c>
      <c r="O543" s="53">
        <f>O351+O444</f>
        <v>1114.3000000000002</v>
      </c>
      <c r="P543" s="53">
        <f>P351+P444</f>
        <v>100</v>
      </c>
    </row>
    <row r="544" spans="5:16" ht="12.75">
      <c r="E544" s="22" t="s">
        <v>350</v>
      </c>
      <c r="N544" s="53">
        <f>N319+N355+N358+N361+N371+N379+N413</f>
        <v>100619</v>
      </c>
      <c r="O544" s="53">
        <f>O319+O355+O358+O361+O371+O379+O413</f>
        <v>100689.97</v>
      </c>
      <c r="P544" s="53">
        <f>P319+P355+P358+P361+P371+P379+P413</f>
        <v>598.0128842815093</v>
      </c>
    </row>
    <row r="545" spans="5:16" ht="12.75">
      <c r="E545" s="22" t="s">
        <v>403</v>
      </c>
      <c r="N545" s="53">
        <f>N313+N315+N325+N334+N336+N340+N342+N374+N383+N385+N390+N394+N398+N401+N403+N424+N453+N427+N430</f>
        <v>39974.40900000001</v>
      </c>
      <c r="O545" s="53">
        <f>O313+O315+O325+O334+O336+O340+O342+O374+O383+O385+O390+O394+O398+O401+O403+O424+O453+O427+O430</f>
        <v>39973.43351</v>
      </c>
      <c r="P545" s="53">
        <f>P313+P315+P325+P334+P336+P340+P342+P374+P383+P385+P390+P394+P398+P401+P403+P424+P453+P427+P430</f>
        <v>1399.5047036903932</v>
      </c>
    </row>
    <row r="548" ht="12.75">
      <c r="O548" s="210">
        <f>O533+O534+O536-1047.659</f>
        <v>215556.31202999997</v>
      </c>
    </row>
  </sheetData>
  <sheetProtection/>
  <autoFilter ref="A11:F531"/>
  <mergeCells count="19">
    <mergeCell ref="D7:D10"/>
    <mergeCell ref="E7:E10"/>
    <mergeCell ref="O7:O10"/>
    <mergeCell ref="N7:N10"/>
    <mergeCell ref="H7:H10"/>
    <mergeCell ref="G7:G10"/>
    <mergeCell ref="F7:F10"/>
    <mergeCell ref="I7:I10"/>
    <mergeCell ref="M7:M10"/>
    <mergeCell ref="P7:P10"/>
    <mergeCell ref="E1:P1"/>
    <mergeCell ref="D2:P3"/>
    <mergeCell ref="A4:P4"/>
    <mergeCell ref="J7:J10"/>
    <mergeCell ref="L7:L10"/>
    <mergeCell ref="K7:K10"/>
    <mergeCell ref="B7:B10"/>
    <mergeCell ref="A7:A10"/>
    <mergeCell ref="C7:C10"/>
  </mergeCells>
  <printOptions horizontalCentered="1"/>
  <pageMargins left="0.3937007874015748" right="0" top="0" bottom="0" header="0.15748031496062992" footer="0.5118110236220472"/>
  <pageSetup blackAndWhite="1" fitToHeight="100" fitToWidth="1" horizontalDpi="600" verticalDpi="600" orientation="portrait" paperSize="9" scale="84" r:id="rId3"/>
  <headerFooter alignWithMargins="0">
    <oddHeader>&amp;R&amp;P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P157"/>
  <sheetViews>
    <sheetView showZeros="0" tabSelected="1" zoomScale="85" zoomScaleNormal="85" zoomScaleSheetLayoutView="85" zoomScalePageLayoutView="0" workbookViewId="0" topLeftCell="A1">
      <selection activeCell="A12" sqref="A12:A13"/>
    </sheetView>
  </sheetViews>
  <sheetFormatPr defaultColWidth="9.00390625" defaultRowHeight="12.75" outlineLevelRow="1"/>
  <cols>
    <col min="1" max="1" width="51.75390625" style="20" customWidth="1"/>
    <col min="2" max="2" width="3.25390625" style="20" hidden="1" customWidth="1"/>
    <col min="3" max="3" width="5.375" style="22" customWidth="1"/>
    <col min="4" max="4" width="5.625" style="22" customWidth="1"/>
    <col min="5" max="5" width="8.75390625" style="22" customWidth="1"/>
    <col min="6" max="7" width="4.75390625" style="22" customWidth="1"/>
    <col min="8" max="8" width="10.125" style="20" hidden="1" customWidth="1"/>
    <col min="9" max="12" width="11.375" style="20" hidden="1" customWidth="1"/>
    <col min="13" max="14" width="11.375" style="20" customWidth="1"/>
    <col min="15" max="15" width="10.75390625" style="20" customWidth="1"/>
    <col min="16" max="16384" width="9.125" style="20" customWidth="1"/>
  </cols>
  <sheetData>
    <row r="1" spans="1:15" ht="25.5" customHeight="1">
      <c r="A1" s="18"/>
      <c r="B1" s="18"/>
      <c r="C1" s="250" t="s">
        <v>456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ht="9.75" customHeight="1" hidden="1">
      <c r="A2" s="18"/>
      <c r="B2" s="18"/>
      <c r="C2" s="251" t="s">
        <v>419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spans="1:15" ht="39.75" customHeight="1" hidden="1">
      <c r="A3" s="18"/>
      <c r="B3" s="18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7" ht="8.25" customHeight="1">
      <c r="A4" s="18"/>
      <c r="B4" s="18"/>
      <c r="C4" s="19"/>
      <c r="D4" s="19"/>
      <c r="E4" s="19"/>
      <c r="F4" s="19"/>
      <c r="G4" s="19"/>
    </row>
    <row r="5" spans="1:7" ht="18.75" customHeight="1" hidden="1">
      <c r="A5" s="18"/>
      <c r="B5" s="18"/>
      <c r="C5" s="19"/>
      <c r="D5" s="19"/>
      <c r="E5" s="19"/>
      <c r="F5" s="19"/>
      <c r="G5" s="19"/>
    </row>
    <row r="6" spans="1:12" ht="23.25" customHeight="1" hidden="1">
      <c r="A6" s="18"/>
      <c r="B6" s="18"/>
      <c r="C6" s="19"/>
      <c r="D6" s="19"/>
      <c r="E6" s="19"/>
      <c r="F6" s="19"/>
      <c r="G6" s="254"/>
      <c r="H6" s="254"/>
      <c r="I6" s="254"/>
      <c r="J6" s="254"/>
      <c r="K6" s="254"/>
      <c r="L6" s="254"/>
    </row>
    <row r="7" spans="1:12" ht="23.25" customHeight="1" hidden="1">
      <c r="A7" s="18"/>
      <c r="B7" s="18"/>
      <c r="C7" s="19"/>
      <c r="D7" s="19"/>
      <c r="E7" s="19"/>
      <c r="F7" s="19"/>
      <c r="G7" s="254"/>
      <c r="H7" s="254"/>
      <c r="I7" s="254"/>
      <c r="J7" s="254"/>
      <c r="K7" s="254"/>
      <c r="L7" s="254"/>
    </row>
    <row r="8" spans="1:12" ht="42" customHeight="1" hidden="1">
      <c r="A8" s="1"/>
      <c r="B8" s="1"/>
      <c r="C8" s="14"/>
      <c r="D8" s="14"/>
      <c r="E8" s="14"/>
      <c r="F8" s="14"/>
      <c r="G8" s="254"/>
      <c r="H8" s="254"/>
      <c r="I8" s="254"/>
      <c r="J8" s="254"/>
      <c r="K8" s="254"/>
      <c r="L8" s="254"/>
    </row>
    <row r="9" spans="1:15" ht="34.5" customHeight="1" outlineLevel="1">
      <c r="A9" s="253" t="s">
        <v>418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</row>
    <row r="10" spans="1:7" ht="8.25" customHeight="1">
      <c r="A10" s="17"/>
      <c r="B10" s="17"/>
      <c r="C10" s="17"/>
      <c r="D10" s="17"/>
      <c r="E10" s="17"/>
      <c r="F10" s="17"/>
      <c r="G10" s="17"/>
    </row>
    <row r="11" spans="1:14" ht="13.5" customHeight="1">
      <c r="A11" s="17"/>
      <c r="B11" s="17"/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</row>
    <row r="12" spans="1:15" s="21" customFormat="1" ht="13.5" customHeight="1">
      <c r="A12" s="255" t="s">
        <v>32</v>
      </c>
      <c r="B12" s="73"/>
      <c r="C12" s="242" t="s">
        <v>33</v>
      </c>
      <c r="D12" s="242" t="s">
        <v>34</v>
      </c>
      <c r="E12" s="242" t="s">
        <v>91</v>
      </c>
      <c r="F12" s="242" t="s">
        <v>21</v>
      </c>
      <c r="G12" s="242"/>
      <c r="H12" s="232" t="s">
        <v>192</v>
      </c>
      <c r="I12" s="232" t="s">
        <v>193</v>
      </c>
      <c r="J12" s="232" t="s">
        <v>194</v>
      </c>
      <c r="K12" s="232" t="s">
        <v>193</v>
      </c>
      <c r="L12" s="232" t="s">
        <v>192</v>
      </c>
      <c r="M12" s="232" t="s">
        <v>193</v>
      </c>
      <c r="N12" s="232" t="s">
        <v>449</v>
      </c>
      <c r="O12" s="232" t="s">
        <v>450</v>
      </c>
    </row>
    <row r="13" spans="1:15" s="21" customFormat="1" ht="12.75" customHeight="1">
      <c r="A13" s="256"/>
      <c r="B13" s="74"/>
      <c r="C13" s="243"/>
      <c r="D13" s="243"/>
      <c r="E13" s="243"/>
      <c r="F13" s="243"/>
      <c r="G13" s="243"/>
      <c r="H13" s="233"/>
      <c r="I13" s="233"/>
      <c r="J13" s="233"/>
      <c r="K13" s="233"/>
      <c r="L13" s="233"/>
      <c r="M13" s="233"/>
      <c r="N13" s="233"/>
      <c r="O13" s="233"/>
    </row>
    <row r="14" spans="1:15" ht="15.75">
      <c r="A14" s="128" t="s">
        <v>198</v>
      </c>
      <c r="B14" s="44"/>
      <c r="C14" s="45"/>
      <c r="D14" s="45"/>
      <c r="E14" s="45" t="s">
        <v>199</v>
      </c>
      <c r="F14" s="10"/>
      <c r="G14" s="132"/>
      <c r="H14" s="56"/>
      <c r="I14" s="56"/>
      <c r="J14" s="56"/>
      <c r="K14" s="56"/>
      <c r="L14" s="56"/>
      <c r="M14" s="56">
        <f>M15+M37</f>
        <v>16551.993</v>
      </c>
      <c r="N14" s="56">
        <f>N15+N37</f>
        <v>18971.30356</v>
      </c>
      <c r="O14" s="261">
        <f>N14/M14*100</f>
        <v>114.61643054102308</v>
      </c>
    </row>
    <row r="15" spans="1:15" ht="25.5">
      <c r="A15" s="44" t="s">
        <v>289</v>
      </c>
      <c r="B15" s="44"/>
      <c r="C15" s="12"/>
      <c r="D15" s="12"/>
      <c r="E15" s="37" t="s">
        <v>197</v>
      </c>
      <c r="F15" s="13"/>
      <c r="G15" s="34"/>
      <c r="H15" s="78"/>
      <c r="I15" s="78"/>
      <c r="J15" s="56"/>
      <c r="K15" s="78"/>
      <c r="L15" s="78"/>
      <c r="M15" s="55">
        <f>M16+M27</f>
        <v>14600.827</v>
      </c>
      <c r="N15" s="55">
        <f>N16+N27</f>
        <v>17020.13801</v>
      </c>
      <c r="O15" s="261">
        <f aca="true" t="shared" si="0" ref="O15:O78">N15/M15*100</f>
        <v>116.56968478566316</v>
      </c>
    </row>
    <row r="16" spans="1:15" ht="14.25">
      <c r="A16" s="107" t="s">
        <v>207</v>
      </c>
      <c r="B16" s="6"/>
      <c r="C16" s="64" t="s">
        <v>143</v>
      </c>
      <c r="D16" s="64" t="s">
        <v>206</v>
      </c>
      <c r="E16" s="12"/>
      <c r="F16" s="13"/>
      <c r="G16" s="34"/>
      <c r="H16" s="78"/>
      <c r="I16" s="78"/>
      <c r="J16" s="56"/>
      <c r="K16" s="78"/>
      <c r="L16" s="78"/>
      <c r="M16" s="55">
        <f>M17+M21</f>
        <v>13485.118999999999</v>
      </c>
      <c r="N16" s="55">
        <f>N17+N21</f>
        <v>15904.43001</v>
      </c>
      <c r="O16" s="261">
        <f t="shared" si="0"/>
        <v>117.94059815119171</v>
      </c>
    </row>
    <row r="17" spans="1:15" ht="14.25">
      <c r="A17" s="6" t="s">
        <v>339</v>
      </c>
      <c r="B17" s="6"/>
      <c r="C17" s="12" t="s">
        <v>143</v>
      </c>
      <c r="D17" s="12" t="s">
        <v>206</v>
      </c>
      <c r="E17" s="12" t="s">
        <v>197</v>
      </c>
      <c r="F17" s="13" t="s">
        <v>20</v>
      </c>
      <c r="G17" s="13"/>
      <c r="H17" s="62" t="e">
        <f>H18+H19+H20</f>
        <v>#REF!</v>
      </c>
      <c r="I17" s="62" t="e">
        <f>I18+I19+I20</f>
        <v>#REF!</v>
      </c>
      <c r="J17" s="56" t="e">
        <f aca="true" t="shared" si="1" ref="J17:J25">I17-H17</f>
        <v>#REF!</v>
      </c>
      <c r="K17" s="62">
        <f>K18+K19+K20</f>
        <v>0</v>
      </c>
      <c r="L17" s="62" t="e">
        <f>L18+L19+L20</f>
        <v>#VALUE!</v>
      </c>
      <c r="M17" s="55">
        <f>M18+M19+M20</f>
        <v>1477.819</v>
      </c>
      <c r="N17" s="55">
        <f>N18+N19+N20</f>
        <v>1477.81851</v>
      </c>
      <c r="O17" s="261">
        <f t="shared" si="0"/>
        <v>99.99996684303018</v>
      </c>
    </row>
    <row r="18" spans="1:15" ht="14.25">
      <c r="A18" s="6" t="s">
        <v>210</v>
      </c>
      <c r="B18" s="6"/>
      <c r="C18" s="12" t="s">
        <v>143</v>
      </c>
      <c r="D18" s="12" t="s">
        <v>206</v>
      </c>
      <c r="E18" s="12" t="s">
        <v>197</v>
      </c>
      <c r="F18" s="13" t="s">
        <v>20</v>
      </c>
      <c r="G18" s="13" t="s">
        <v>213</v>
      </c>
      <c r="H18" s="62"/>
      <c r="I18" s="62"/>
      <c r="J18" s="56">
        <f t="shared" si="1"/>
        <v>0</v>
      </c>
      <c r="K18" s="62"/>
      <c r="L18" s="62">
        <f>'проект бюджета 2013'!M6</f>
        <v>0</v>
      </c>
      <c r="M18" s="55">
        <f>'15 (3)'!M136</f>
        <v>0</v>
      </c>
      <c r="N18" s="55">
        <f>'15 (3)'!N136</f>
        <v>0</v>
      </c>
      <c r="O18" s="261"/>
    </row>
    <row r="19" spans="1:15" ht="14.25">
      <c r="A19" s="6" t="s">
        <v>211</v>
      </c>
      <c r="B19" s="6"/>
      <c r="C19" s="12" t="s">
        <v>143</v>
      </c>
      <c r="D19" s="12" t="s">
        <v>206</v>
      </c>
      <c r="E19" s="12" t="s">
        <v>197</v>
      </c>
      <c r="F19" s="13" t="s">
        <v>20</v>
      </c>
      <c r="G19" s="13" t="s">
        <v>214</v>
      </c>
      <c r="H19" s="62"/>
      <c r="I19" s="62"/>
      <c r="J19" s="56">
        <f t="shared" si="1"/>
        <v>0</v>
      </c>
      <c r="K19" s="62"/>
      <c r="L19" s="62" t="str">
        <f>'проект бюджета 2013'!M7</f>
        <v>Бюджет</v>
      </c>
      <c r="M19" s="55">
        <f>'15 (3)'!M137</f>
        <v>0</v>
      </c>
      <c r="N19" s="55">
        <f>'15 (3)'!N137</f>
        <v>0</v>
      </c>
      <c r="O19" s="261"/>
    </row>
    <row r="20" spans="1:15" ht="14.25">
      <c r="A20" s="6" t="s">
        <v>209</v>
      </c>
      <c r="B20" s="6"/>
      <c r="C20" s="12" t="s">
        <v>143</v>
      </c>
      <c r="D20" s="12" t="s">
        <v>206</v>
      </c>
      <c r="E20" s="12" t="s">
        <v>197</v>
      </c>
      <c r="F20" s="13" t="s">
        <v>20</v>
      </c>
      <c r="G20" s="13" t="s">
        <v>212</v>
      </c>
      <c r="H20" s="78" t="e">
        <f>'проект бюджета 2013'!#REF!</f>
        <v>#REF!</v>
      </c>
      <c r="I20" s="78" t="e">
        <f>'проект бюджета 2013'!#REF!</f>
        <v>#REF!</v>
      </c>
      <c r="J20" s="56" t="e">
        <f t="shared" si="1"/>
        <v>#REF!</v>
      </c>
      <c r="K20" s="78">
        <f>'проект бюджета 2013'!K8</f>
        <v>0</v>
      </c>
      <c r="L20" s="62">
        <f>'проект бюджета 2013'!M8</f>
        <v>0</v>
      </c>
      <c r="M20" s="55">
        <f>'15 (3)'!M138</f>
        <v>1477.819</v>
      </c>
      <c r="N20" s="55">
        <f>'15 (3)'!N138</f>
        <v>1477.81851</v>
      </c>
      <c r="O20" s="261">
        <f t="shared" si="0"/>
        <v>99.99996684303018</v>
      </c>
    </row>
    <row r="21" spans="1:16" ht="25.5">
      <c r="A21" s="6" t="s">
        <v>433</v>
      </c>
      <c r="B21" s="6"/>
      <c r="C21" s="12" t="s">
        <v>143</v>
      </c>
      <c r="D21" s="12" t="s">
        <v>206</v>
      </c>
      <c r="E21" s="37" t="s">
        <v>434</v>
      </c>
      <c r="F21" s="13"/>
      <c r="G21" s="13"/>
      <c r="H21" s="62" t="e">
        <f>H22</f>
        <v>#REF!</v>
      </c>
      <c r="I21" s="62" t="e">
        <f>I22</f>
        <v>#REF!</v>
      </c>
      <c r="J21" s="56" t="e">
        <f t="shared" si="1"/>
        <v>#REF!</v>
      </c>
      <c r="K21" s="62" t="e">
        <f>K22</f>
        <v>#REF!</v>
      </c>
      <c r="L21" s="62" t="e">
        <f>L22</f>
        <v>#REF!</v>
      </c>
      <c r="M21" s="62">
        <f>M22</f>
        <v>12007.3</v>
      </c>
      <c r="N21" s="62">
        <f>N22</f>
        <v>14426.611499999999</v>
      </c>
      <c r="O21" s="261">
        <f t="shared" si="0"/>
        <v>120.14867205783149</v>
      </c>
      <c r="P21" s="146"/>
    </row>
    <row r="22" spans="1:16" ht="14.25">
      <c r="A22" s="6" t="s">
        <v>339</v>
      </c>
      <c r="B22" s="6"/>
      <c r="C22" s="12" t="s">
        <v>143</v>
      </c>
      <c r="D22" s="12" t="s">
        <v>206</v>
      </c>
      <c r="E22" s="37" t="s">
        <v>434</v>
      </c>
      <c r="F22" s="13" t="s">
        <v>20</v>
      </c>
      <c r="G22" s="13"/>
      <c r="H22" s="62" t="e">
        <f>H23+H24+H25</f>
        <v>#REF!</v>
      </c>
      <c r="I22" s="62" t="e">
        <f>I23+I24+I25</f>
        <v>#REF!</v>
      </c>
      <c r="J22" s="56" t="e">
        <f t="shared" si="1"/>
        <v>#REF!</v>
      </c>
      <c r="K22" s="62" t="e">
        <f>K23+K24+K25</f>
        <v>#REF!</v>
      </c>
      <c r="L22" s="62" t="e">
        <f>L23+L24+L25</f>
        <v>#REF!</v>
      </c>
      <c r="M22" s="62">
        <f>M23+M24+M25</f>
        <v>12007.3</v>
      </c>
      <c r="N22" s="62">
        <f>N23+N24+N25+N26</f>
        <v>14426.611499999999</v>
      </c>
      <c r="O22" s="261">
        <f t="shared" si="0"/>
        <v>120.14867205783149</v>
      </c>
      <c r="P22" s="146"/>
    </row>
    <row r="23" spans="1:16" ht="14.25">
      <c r="A23" s="6" t="s">
        <v>210</v>
      </c>
      <c r="B23" s="6"/>
      <c r="C23" s="12" t="s">
        <v>143</v>
      </c>
      <c r="D23" s="12" t="s">
        <v>206</v>
      </c>
      <c r="E23" s="37" t="s">
        <v>434</v>
      </c>
      <c r="F23" s="13" t="s">
        <v>20</v>
      </c>
      <c r="G23" s="166" t="s">
        <v>213</v>
      </c>
      <c r="H23" s="62"/>
      <c r="I23" s="62"/>
      <c r="J23" s="56">
        <f t="shared" si="1"/>
        <v>0</v>
      </c>
      <c r="K23" s="62"/>
      <c r="L23" s="62">
        <f>'проект бюджета 2013'!M9</f>
        <v>0</v>
      </c>
      <c r="M23" s="62">
        <f>'15 (3)'!M141</f>
        <v>3718.7</v>
      </c>
      <c r="N23" s="62">
        <f>'15 (3)'!N141</f>
        <v>3718.7</v>
      </c>
      <c r="O23" s="261">
        <f t="shared" si="0"/>
        <v>100</v>
      </c>
      <c r="P23" s="146"/>
    </row>
    <row r="24" spans="1:16" ht="14.25">
      <c r="A24" s="6" t="s">
        <v>211</v>
      </c>
      <c r="B24" s="6"/>
      <c r="C24" s="12" t="s">
        <v>143</v>
      </c>
      <c r="D24" s="12" t="s">
        <v>206</v>
      </c>
      <c r="E24" s="37" t="s">
        <v>434</v>
      </c>
      <c r="F24" s="13" t="s">
        <v>20</v>
      </c>
      <c r="G24" s="166" t="s">
        <v>214</v>
      </c>
      <c r="H24" s="62"/>
      <c r="I24" s="62"/>
      <c r="J24" s="56">
        <f t="shared" si="1"/>
        <v>0</v>
      </c>
      <c r="K24" s="62"/>
      <c r="L24" s="62">
        <f>'проект бюджета 2013'!M10</f>
        <v>0</v>
      </c>
      <c r="M24" s="62">
        <f>'15 (3)'!M142</f>
        <v>8018.799999999999</v>
      </c>
      <c r="N24" s="62">
        <f>'15 (3)'!N142</f>
        <v>8018.799999999999</v>
      </c>
      <c r="O24" s="261">
        <f t="shared" si="0"/>
        <v>100</v>
      </c>
      <c r="P24" s="146"/>
    </row>
    <row r="25" spans="1:16" ht="14.25">
      <c r="A25" s="6" t="s">
        <v>209</v>
      </c>
      <c r="B25" s="6"/>
      <c r="C25" s="12" t="s">
        <v>143</v>
      </c>
      <c r="D25" s="12" t="s">
        <v>206</v>
      </c>
      <c r="E25" s="37" t="s">
        <v>434</v>
      </c>
      <c r="F25" s="13" t="s">
        <v>20</v>
      </c>
      <c r="G25" s="156" t="s">
        <v>212</v>
      </c>
      <c r="H25" s="78" t="e">
        <f>'проект бюджета 2013'!#REF!</f>
        <v>#REF!</v>
      </c>
      <c r="I25" s="78" t="e">
        <f>'проект бюджета 2013'!#REF!</f>
        <v>#REF!</v>
      </c>
      <c r="J25" s="56" t="e">
        <f t="shared" si="1"/>
        <v>#REF!</v>
      </c>
      <c r="K25" s="78" t="e">
        <f>'проект бюджета 2013'!K11</f>
        <v>#REF!</v>
      </c>
      <c r="L25" s="62" t="e">
        <f>'проект бюджета 2013'!M11</f>
        <v>#REF!</v>
      </c>
      <c r="M25" s="62">
        <f>'15 (3)'!M143</f>
        <v>269.80000000000007</v>
      </c>
      <c r="N25" s="62">
        <f>'15 (3)'!N143</f>
        <v>269.7115</v>
      </c>
      <c r="O25" s="261">
        <f t="shared" si="0"/>
        <v>99.9671979243884</v>
      </c>
      <c r="P25" s="146"/>
    </row>
    <row r="26" spans="1:16" ht="14.25">
      <c r="A26" s="200" t="s">
        <v>361</v>
      </c>
      <c r="B26" s="6"/>
      <c r="C26" s="12" t="s">
        <v>143</v>
      </c>
      <c r="D26" s="12" t="s">
        <v>206</v>
      </c>
      <c r="E26" s="37" t="s">
        <v>434</v>
      </c>
      <c r="F26" s="13" t="s">
        <v>20</v>
      </c>
      <c r="G26" s="187">
        <v>4</v>
      </c>
      <c r="H26" s="78"/>
      <c r="I26" s="78"/>
      <c r="J26" s="56"/>
      <c r="K26" s="78"/>
      <c r="L26" s="62"/>
      <c r="M26" s="62">
        <f>'проект бюджета 2013'!N130</f>
        <v>1719.4</v>
      </c>
      <c r="N26" s="62">
        <f>'проект бюджета 2013'!O130</f>
        <v>2419.4</v>
      </c>
      <c r="O26" s="261">
        <f t="shared" si="0"/>
        <v>140.71187623589626</v>
      </c>
      <c r="P26" s="146"/>
    </row>
    <row r="27" spans="1:15" ht="14.25">
      <c r="A27" s="4" t="s">
        <v>16</v>
      </c>
      <c r="B27" s="4"/>
      <c r="C27" s="11" t="s">
        <v>148</v>
      </c>
      <c r="D27" s="11" t="s">
        <v>174</v>
      </c>
      <c r="E27" s="12"/>
      <c r="F27" s="13"/>
      <c r="G27" s="34"/>
      <c r="H27" s="78"/>
      <c r="I27" s="78"/>
      <c r="J27" s="56"/>
      <c r="K27" s="78"/>
      <c r="L27" s="78"/>
      <c r="M27" s="55">
        <f>M28+M32</f>
        <v>1115.708</v>
      </c>
      <c r="N27" s="55">
        <f>N28+N32</f>
        <v>1115.708</v>
      </c>
      <c r="O27" s="261">
        <f t="shared" si="0"/>
        <v>100</v>
      </c>
    </row>
    <row r="28" spans="1:15" ht="14.25">
      <c r="A28" s="6" t="s">
        <v>332</v>
      </c>
      <c r="B28" s="3"/>
      <c r="C28" s="11" t="s">
        <v>148</v>
      </c>
      <c r="D28" s="11" t="s">
        <v>174</v>
      </c>
      <c r="E28" s="12" t="s">
        <v>197</v>
      </c>
      <c r="F28" s="13" t="s">
        <v>331</v>
      </c>
      <c r="G28" s="13"/>
      <c r="H28" s="72"/>
      <c r="I28" s="72"/>
      <c r="J28" s="56"/>
      <c r="K28" s="72"/>
      <c r="L28" s="72">
        <f>L29+L30+L31</f>
        <v>0</v>
      </c>
      <c r="M28" s="55">
        <f>M29+M30+M31</f>
        <v>0</v>
      </c>
      <c r="N28" s="55">
        <f>N29+N30+N31</f>
        <v>0</v>
      </c>
      <c r="O28" s="261"/>
    </row>
    <row r="29" spans="1:15" ht="14.25">
      <c r="A29" s="6" t="s">
        <v>210</v>
      </c>
      <c r="B29" s="3"/>
      <c r="C29" s="11" t="s">
        <v>148</v>
      </c>
      <c r="D29" s="11" t="s">
        <v>174</v>
      </c>
      <c r="E29" s="12" t="s">
        <v>197</v>
      </c>
      <c r="F29" s="13" t="s">
        <v>331</v>
      </c>
      <c r="G29" s="117">
        <v>1</v>
      </c>
      <c r="H29" s="72"/>
      <c r="I29" s="72"/>
      <c r="J29" s="56"/>
      <c r="K29" s="72"/>
      <c r="L29" s="72">
        <f>'проект бюджета 2013'!M184</f>
        <v>0</v>
      </c>
      <c r="M29" s="55">
        <f>'15 (3)'!M367</f>
        <v>0</v>
      </c>
      <c r="N29" s="55">
        <f>'15 (3)'!N367</f>
        <v>0</v>
      </c>
      <c r="O29" s="261"/>
    </row>
    <row r="30" spans="1:15" ht="14.25">
      <c r="A30" s="6" t="s">
        <v>211</v>
      </c>
      <c r="B30" s="3"/>
      <c r="C30" s="11" t="s">
        <v>148</v>
      </c>
      <c r="D30" s="11" t="s">
        <v>174</v>
      </c>
      <c r="E30" s="12" t="s">
        <v>197</v>
      </c>
      <c r="F30" s="13" t="s">
        <v>331</v>
      </c>
      <c r="G30" s="13" t="s">
        <v>214</v>
      </c>
      <c r="H30" s="72"/>
      <c r="I30" s="72"/>
      <c r="J30" s="56"/>
      <c r="K30" s="72"/>
      <c r="L30" s="72">
        <f>'проект бюджета 2013'!M185</f>
        <v>0</v>
      </c>
      <c r="M30" s="55">
        <f>'15 (3)'!M368</f>
        <v>0</v>
      </c>
      <c r="N30" s="55">
        <f>'15 (3)'!N368</f>
        <v>0</v>
      </c>
      <c r="O30" s="261"/>
    </row>
    <row r="31" spans="1:15" ht="14.25">
      <c r="A31" s="109" t="s">
        <v>209</v>
      </c>
      <c r="B31" s="3"/>
      <c r="C31" s="11" t="s">
        <v>148</v>
      </c>
      <c r="D31" s="11" t="s">
        <v>174</v>
      </c>
      <c r="E31" s="12" t="s">
        <v>197</v>
      </c>
      <c r="F31" s="13" t="s">
        <v>331</v>
      </c>
      <c r="G31" s="13" t="s">
        <v>212</v>
      </c>
      <c r="H31" s="72"/>
      <c r="I31" s="72"/>
      <c r="J31" s="56"/>
      <c r="K31" s="72"/>
      <c r="L31" s="72">
        <f>'проект бюджета 2013'!M186</f>
        <v>0</v>
      </c>
      <c r="M31" s="55">
        <f>'проект бюджета 2013'!N197</f>
        <v>0</v>
      </c>
      <c r="N31" s="55">
        <f>'проект бюджета 2013'!O197</f>
        <v>0</v>
      </c>
      <c r="O31" s="261"/>
    </row>
    <row r="32" spans="1:16" ht="39" customHeight="1">
      <c r="A32" s="44" t="s">
        <v>433</v>
      </c>
      <c r="B32" s="44"/>
      <c r="C32" s="11" t="s">
        <v>148</v>
      </c>
      <c r="D32" s="11" t="s">
        <v>174</v>
      </c>
      <c r="E32" s="37" t="s">
        <v>434</v>
      </c>
      <c r="F32" s="13"/>
      <c r="G32" s="13"/>
      <c r="H32" s="55">
        <f>H33+H36</f>
        <v>0</v>
      </c>
      <c r="I32" s="55">
        <f>I33+I36</f>
        <v>0</v>
      </c>
      <c r="J32" s="56">
        <f>I32-H32</f>
        <v>0</v>
      </c>
      <c r="K32" s="55">
        <f>K33+K36</f>
        <v>0</v>
      </c>
      <c r="L32" s="55" t="e">
        <f>L33+L36+L45</f>
        <v>#REF!</v>
      </c>
      <c r="M32" s="55">
        <f>M34+M35+M36</f>
        <v>1115.708</v>
      </c>
      <c r="N32" s="55">
        <f>N34+N35+N36</f>
        <v>1115.708</v>
      </c>
      <c r="O32" s="261">
        <f t="shared" si="0"/>
        <v>100</v>
      </c>
      <c r="P32" s="146"/>
    </row>
    <row r="33" spans="1:16" ht="15" customHeight="1">
      <c r="A33" s="6" t="s">
        <v>332</v>
      </c>
      <c r="B33" s="3"/>
      <c r="C33" s="11" t="s">
        <v>148</v>
      </c>
      <c r="D33" s="11" t="s">
        <v>174</v>
      </c>
      <c r="E33" s="37" t="s">
        <v>434</v>
      </c>
      <c r="F33" s="13" t="s">
        <v>331</v>
      </c>
      <c r="G33" s="13"/>
      <c r="H33" s="72"/>
      <c r="I33" s="72"/>
      <c r="J33" s="56"/>
      <c r="K33" s="72"/>
      <c r="L33" s="72" t="e">
        <f>L34+L35+L36</f>
        <v>#REF!</v>
      </c>
      <c r="M33" s="72">
        <f>M34+M35+M36</f>
        <v>1115.708</v>
      </c>
      <c r="N33" s="55">
        <f>N34+N35+N36</f>
        <v>1115.708</v>
      </c>
      <c r="O33" s="261">
        <f t="shared" si="0"/>
        <v>100</v>
      </c>
      <c r="P33" s="146"/>
    </row>
    <row r="34" spans="1:16" ht="15" customHeight="1">
      <c r="A34" s="6" t="s">
        <v>210</v>
      </c>
      <c r="B34" s="3"/>
      <c r="C34" s="11" t="s">
        <v>148</v>
      </c>
      <c r="D34" s="11" t="s">
        <v>174</v>
      </c>
      <c r="E34" s="37" t="s">
        <v>434</v>
      </c>
      <c r="F34" s="13" t="s">
        <v>331</v>
      </c>
      <c r="G34" s="157">
        <v>1</v>
      </c>
      <c r="H34" s="72"/>
      <c r="I34" s="72"/>
      <c r="J34" s="56"/>
      <c r="K34" s="72"/>
      <c r="L34" s="72" t="e">
        <f>'проект бюджета 2013'!#REF!</f>
        <v>#REF!</v>
      </c>
      <c r="M34" s="72">
        <f>'15 (3)'!M372</f>
        <v>578.99</v>
      </c>
      <c r="N34" s="55">
        <f>'15 (3)'!N372</f>
        <v>578.99</v>
      </c>
      <c r="O34" s="261">
        <f t="shared" si="0"/>
        <v>100</v>
      </c>
      <c r="P34" s="146"/>
    </row>
    <row r="35" spans="1:16" ht="15" customHeight="1">
      <c r="A35" s="6" t="s">
        <v>211</v>
      </c>
      <c r="B35" s="3"/>
      <c r="C35" s="11" t="s">
        <v>148</v>
      </c>
      <c r="D35" s="11" t="s">
        <v>174</v>
      </c>
      <c r="E35" s="37" t="s">
        <v>434</v>
      </c>
      <c r="F35" s="13" t="s">
        <v>331</v>
      </c>
      <c r="G35" s="167" t="s">
        <v>214</v>
      </c>
      <c r="H35" s="72"/>
      <c r="I35" s="72"/>
      <c r="J35" s="56"/>
      <c r="K35" s="72"/>
      <c r="L35" s="72" t="e">
        <f>'проект бюджета 2013'!#REF!</f>
        <v>#REF!</v>
      </c>
      <c r="M35" s="72">
        <f>'15 (3)'!M373</f>
        <v>323.38</v>
      </c>
      <c r="N35" s="55">
        <f>'15 (3)'!N373</f>
        <v>323.38</v>
      </c>
      <c r="O35" s="261">
        <f t="shared" si="0"/>
        <v>100</v>
      </c>
      <c r="P35" s="146"/>
    </row>
    <row r="36" spans="1:16" ht="15" customHeight="1">
      <c r="A36" s="6" t="s">
        <v>209</v>
      </c>
      <c r="B36" s="3"/>
      <c r="C36" s="11" t="s">
        <v>148</v>
      </c>
      <c r="D36" s="11" t="s">
        <v>174</v>
      </c>
      <c r="E36" s="37" t="s">
        <v>434</v>
      </c>
      <c r="F36" s="13" t="s">
        <v>331</v>
      </c>
      <c r="G36" s="156" t="s">
        <v>212</v>
      </c>
      <c r="H36" s="72"/>
      <c r="I36" s="72"/>
      <c r="J36" s="56"/>
      <c r="K36" s="72"/>
      <c r="L36" s="72" t="e">
        <f>'проект бюджета 2013'!#REF!</f>
        <v>#REF!</v>
      </c>
      <c r="M36" s="72">
        <f>'15 (3)'!M374</f>
        <v>213.338</v>
      </c>
      <c r="N36" s="55">
        <f>'15 (3)'!N374</f>
        <v>213.338</v>
      </c>
      <c r="O36" s="261">
        <f t="shared" si="0"/>
        <v>100</v>
      </c>
      <c r="P36" s="146"/>
    </row>
    <row r="37" spans="1:15" ht="25.5">
      <c r="A37" s="44" t="s">
        <v>290</v>
      </c>
      <c r="B37" s="6"/>
      <c r="C37" s="34"/>
      <c r="D37" s="34"/>
      <c r="E37" s="37" t="s">
        <v>291</v>
      </c>
      <c r="F37" s="13"/>
      <c r="G37" s="13"/>
      <c r="H37" s="55">
        <f>H46</f>
        <v>1224.292</v>
      </c>
      <c r="I37" s="55">
        <f>I46</f>
        <v>848.7</v>
      </c>
      <c r="J37" s="56">
        <f>I37-H37</f>
        <v>-375.59199999999987</v>
      </c>
      <c r="K37" s="55">
        <f>K46</f>
        <v>848.8000000000001</v>
      </c>
      <c r="L37" s="55">
        <f>L46</f>
        <v>6086.8240000000005</v>
      </c>
      <c r="M37" s="55">
        <f>M45+M38</f>
        <v>1951.1660000000002</v>
      </c>
      <c r="N37" s="55">
        <f>N45+N38</f>
        <v>1951.1655500000002</v>
      </c>
      <c r="O37" s="261">
        <f t="shared" si="0"/>
        <v>99.9999769368675</v>
      </c>
    </row>
    <row r="38" spans="1:15" ht="14.25">
      <c r="A38" s="4" t="s">
        <v>299</v>
      </c>
      <c r="B38" s="6"/>
      <c r="C38" s="11" t="s">
        <v>142</v>
      </c>
      <c r="D38" s="11" t="s">
        <v>298</v>
      </c>
      <c r="E38" s="37"/>
      <c r="F38" s="13"/>
      <c r="G38" s="13"/>
      <c r="H38" s="55"/>
      <c r="I38" s="55"/>
      <c r="J38" s="56"/>
      <c r="K38" s="55"/>
      <c r="L38" s="55"/>
      <c r="M38" s="55">
        <f>M39</f>
        <v>625.016</v>
      </c>
      <c r="N38" s="55">
        <f>N39</f>
        <v>625.01555</v>
      </c>
      <c r="O38" s="261">
        <f t="shared" si="0"/>
        <v>99.99992800184316</v>
      </c>
    </row>
    <row r="39" spans="1:15" ht="38.25">
      <c r="A39" s="105" t="s">
        <v>379</v>
      </c>
      <c r="B39" s="6"/>
      <c r="C39" s="11" t="s">
        <v>142</v>
      </c>
      <c r="D39" s="11" t="s">
        <v>298</v>
      </c>
      <c r="E39" s="37" t="s">
        <v>378</v>
      </c>
      <c r="F39" s="13"/>
      <c r="G39" s="34"/>
      <c r="H39" s="55"/>
      <c r="I39" s="55"/>
      <c r="J39" s="56"/>
      <c r="K39" s="55"/>
      <c r="L39" s="55"/>
      <c r="M39" s="55">
        <f>M40</f>
        <v>625.016</v>
      </c>
      <c r="N39" s="55">
        <f>N40</f>
        <v>625.01555</v>
      </c>
      <c r="O39" s="261">
        <f t="shared" si="0"/>
        <v>99.99992800184316</v>
      </c>
    </row>
    <row r="40" spans="1:15" ht="14.25">
      <c r="A40" s="6" t="s">
        <v>339</v>
      </c>
      <c r="B40" s="6"/>
      <c r="C40" s="11" t="s">
        <v>142</v>
      </c>
      <c r="D40" s="11" t="s">
        <v>298</v>
      </c>
      <c r="E40" s="37" t="s">
        <v>378</v>
      </c>
      <c r="F40" s="13" t="s">
        <v>20</v>
      </c>
      <c r="G40" s="34"/>
      <c r="H40" s="55"/>
      <c r="I40" s="55"/>
      <c r="J40" s="56"/>
      <c r="K40" s="55"/>
      <c r="L40" s="55"/>
      <c r="M40" s="55">
        <f>M41+M42+M43+M44</f>
        <v>625.016</v>
      </c>
      <c r="N40" s="55">
        <f>N41+N42+N43+N44</f>
        <v>625.01555</v>
      </c>
      <c r="O40" s="261">
        <f t="shared" si="0"/>
        <v>99.99992800184316</v>
      </c>
    </row>
    <row r="41" spans="1:15" ht="14.25">
      <c r="A41" s="6" t="s">
        <v>210</v>
      </c>
      <c r="B41" s="6"/>
      <c r="C41" s="11" t="s">
        <v>142</v>
      </c>
      <c r="D41" s="11" t="s">
        <v>298</v>
      </c>
      <c r="E41" s="37" t="s">
        <v>378</v>
      </c>
      <c r="F41" s="13" t="s">
        <v>20</v>
      </c>
      <c r="G41" s="34">
        <v>1</v>
      </c>
      <c r="H41" s="55"/>
      <c r="I41" s="55"/>
      <c r="J41" s="56"/>
      <c r="K41" s="55"/>
      <c r="L41" s="55"/>
      <c r="M41" s="55">
        <f>'15 (3)'!M105</f>
        <v>0</v>
      </c>
      <c r="N41" s="55">
        <f>'15 (3)'!N105</f>
        <v>0</v>
      </c>
      <c r="O41" s="261"/>
    </row>
    <row r="42" spans="1:15" ht="14.25">
      <c r="A42" s="6" t="s">
        <v>211</v>
      </c>
      <c r="B42" s="6"/>
      <c r="C42" s="11" t="s">
        <v>142</v>
      </c>
      <c r="D42" s="11" t="s">
        <v>298</v>
      </c>
      <c r="E42" s="37" t="s">
        <v>378</v>
      </c>
      <c r="F42" s="13" t="s">
        <v>20</v>
      </c>
      <c r="G42" s="34">
        <v>2</v>
      </c>
      <c r="H42" s="55"/>
      <c r="I42" s="55"/>
      <c r="J42" s="56"/>
      <c r="K42" s="55"/>
      <c r="L42" s="55"/>
      <c r="M42" s="55">
        <f>'15 (3)'!M106</f>
        <v>0</v>
      </c>
      <c r="N42" s="55">
        <f>'15 (3)'!N106</f>
        <v>0</v>
      </c>
      <c r="O42" s="261"/>
    </row>
    <row r="43" spans="1:15" ht="14.25">
      <c r="A43" s="6" t="s">
        <v>209</v>
      </c>
      <c r="B43" s="6"/>
      <c r="C43" s="11" t="s">
        <v>142</v>
      </c>
      <c r="D43" s="11" t="s">
        <v>298</v>
      </c>
      <c r="E43" s="37" t="s">
        <v>378</v>
      </c>
      <c r="F43" s="13" t="s">
        <v>20</v>
      </c>
      <c r="G43" s="34">
        <v>3</v>
      </c>
      <c r="H43" s="55"/>
      <c r="I43" s="55"/>
      <c r="J43" s="56"/>
      <c r="K43" s="55"/>
      <c r="L43" s="55"/>
      <c r="M43" s="55">
        <f>'15 (3)'!M107</f>
        <v>170.169</v>
      </c>
      <c r="N43" s="55">
        <f>'15 (3)'!N107</f>
        <v>170.16855</v>
      </c>
      <c r="O43" s="261">
        <f t="shared" si="0"/>
        <v>99.9997355570051</v>
      </c>
    </row>
    <row r="44" spans="1:15" ht="25.5">
      <c r="A44" s="51" t="s">
        <v>361</v>
      </c>
      <c r="B44" s="6"/>
      <c r="C44" s="11" t="s">
        <v>142</v>
      </c>
      <c r="D44" s="11" t="s">
        <v>298</v>
      </c>
      <c r="E44" s="37" t="s">
        <v>378</v>
      </c>
      <c r="F44" s="13" t="s">
        <v>20</v>
      </c>
      <c r="G44" s="34">
        <v>4</v>
      </c>
      <c r="H44" s="55"/>
      <c r="I44" s="55"/>
      <c r="J44" s="56"/>
      <c r="K44" s="55"/>
      <c r="L44" s="55"/>
      <c r="M44" s="55">
        <f>'15 (3)'!M108</f>
        <v>454.847</v>
      </c>
      <c r="N44" s="55">
        <f>'15 (3)'!N108</f>
        <v>454.847</v>
      </c>
      <c r="O44" s="261">
        <f t="shared" si="0"/>
        <v>100</v>
      </c>
    </row>
    <row r="45" spans="1:15" ht="14.25">
      <c r="A45" s="4" t="s">
        <v>16</v>
      </c>
      <c r="B45" s="6"/>
      <c r="C45" s="11" t="s">
        <v>148</v>
      </c>
      <c r="D45" s="11" t="s">
        <v>174</v>
      </c>
      <c r="E45" s="37"/>
      <c r="F45" s="13"/>
      <c r="G45" s="13"/>
      <c r="H45" s="55"/>
      <c r="I45" s="55"/>
      <c r="J45" s="56"/>
      <c r="K45" s="55"/>
      <c r="L45" s="55"/>
      <c r="M45" s="55">
        <f>M46</f>
        <v>1326.15</v>
      </c>
      <c r="N45" s="55">
        <f>N46</f>
        <v>1326.15</v>
      </c>
      <c r="O45" s="261">
        <f t="shared" si="0"/>
        <v>100</v>
      </c>
    </row>
    <row r="46" spans="1:15" ht="25.5">
      <c r="A46" s="109" t="s">
        <v>69</v>
      </c>
      <c r="B46" s="6"/>
      <c r="C46" s="11" t="s">
        <v>148</v>
      </c>
      <c r="D46" s="11" t="s">
        <v>174</v>
      </c>
      <c r="E46" s="37" t="s">
        <v>292</v>
      </c>
      <c r="F46" s="13"/>
      <c r="G46" s="13"/>
      <c r="H46" s="55">
        <f>H47</f>
        <v>1224.292</v>
      </c>
      <c r="I46" s="55">
        <f>I47</f>
        <v>848.7</v>
      </c>
      <c r="J46" s="56">
        <f>I46-H46</f>
        <v>-375.59199999999987</v>
      </c>
      <c r="K46" s="55">
        <f>K47</f>
        <v>848.8000000000001</v>
      </c>
      <c r="L46" s="55">
        <f>L47</f>
        <v>6086.8240000000005</v>
      </c>
      <c r="M46" s="55">
        <f>M47</f>
        <v>1326.15</v>
      </c>
      <c r="N46" s="55">
        <f>N47</f>
        <v>1326.15</v>
      </c>
      <c r="O46" s="261">
        <f t="shared" si="0"/>
        <v>100</v>
      </c>
    </row>
    <row r="47" spans="1:15" ht="14.25">
      <c r="A47" s="6" t="s">
        <v>332</v>
      </c>
      <c r="B47" s="6"/>
      <c r="C47" s="11" t="s">
        <v>148</v>
      </c>
      <c r="D47" s="11" t="s">
        <v>174</v>
      </c>
      <c r="E47" s="37" t="s">
        <v>292</v>
      </c>
      <c r="F47" s="13" t="s">
        <v>331</v>
      </c>
      <c r="G47" s="13"/>
      <c r="H47" s="55">
        <f>H50</f>
        <v>1224.292</v>
      </c>
      <c r="I47" s="55">
        <f>I50</f>
        <v>848.7</v>
      </c>
      <c r="J47" s="56">
        <f>I47-H47</f>
        <v>-375.59199999999987</v>
      </c>
      <c r="K47" s="55">
        <f>K50</f>
        <v>848.8000000000001</v>
      </c>
      <c r="L47" s="55">
        <f>L50+L48+L49</f>
        <v>6086.8240000000005</v>
      </c>
      <c r="M47" s="55">
        <f>M50+M48+M49</f>
        <v>1326.15</v>
      </c>
      <c r="N47" s="55">
        <f>N50+N48+N49</f>
        <v>1326.15</v>
      </c>
      <c r="O47" s="261">
        <f t="shared" si="0"/>
        <v>100</v>
      </c>
    </row>
    <row r="48" spans="1:15" ht="14.25">
      <c r="A48" s="6" t="s">
        <v>210</v>
      </c>
      <c r="B48" s="3"/>
      <c r="C48" s="11" t="s">
        <v>148</v>
      </c>
      <c r="D48" s="11" t="s">
        <v>174</v>
      </c>
      <c r="E48" s="37" t="s">
        <v>292</v>
      </c>
      <c r="F48" s="13" t="s">
        <v>331</v>
      </c>
      <c r="G48" s="10" t="s">
        <v>213</v>
      </c>
      <c r="H48" s="55"/>
      <c r="I48" s="55"/>
      <c r="J48" s="56"/>
      <c r="K48" s="55"/>
      <c r="L48" s="55">
        <f>'проект бюджета 2013'!M190</f>
        <v>1151.856</v>
      </c>
      <c r="M48" s="55">
        <f>'проект бюджета 2013'!N190</f>
        <v>464.153</v>
      </c>
      <c r="N48" s="55">
        <f>'проект бюджета 2013'!O190</f>
        <v>464.153</v>
      </c>
      <c r="O48" s="261">
        <f t="shared" si="0"/>
        <v>100</v>
      </c>
    </row>
    <row r="49" spans="1:15" ht="14.25">
      <c r="A49" s="6" t="s">
        <v>211</v>
      </c>
      <c r="B49" s="3"/>
      <c r="C49" s="11" t="s">
        <v>148</v>
      </c>
      <c r="D49" s="11" t="s">
        <v>174</v>
      </c>
      <c r="E49" s="37" t="s">
        <v>292</v>
      </c>
      <c r="F49" s="13" t="s">
        <v>331</v>
      </c>
      <c r="G49" s="10" t="s">
        <v>214</v>
      </c>
      <c r="H49" s="55"/>
      <c r="I49" s="55"/>
      <c r="J49" s="56"/>
      <c r="K49" s="55"/>
      <c r="L49" s="55">
        <f>'проект бюджета 2013'!M191</f>
        <v>4573.323</v>
      </c>
      <c r="M49" s="55">
        <f>'проект бюджета 2013'!N191</f>
        <v>583.506</v>
      </c>
      <c r="N49" s="55">
        <f>'проект бюджета 2013'!O191</f>
        <v>583.506</v>
      </c>
      <c r="O49" s="261">
        <f t="shared" si="0"/>
        <v>100</v>
      </c>
    </row>
    <row r="50" spans="1:15" ht="14.25">
      <c r="A50" s="109" t="s">
        <v>209</v>
      </c>
      <c r="B50" s="3"/>
      <c r="C50" s="11" t="s">
        <v>148</v>
      </c>
      <c r="D50" s="11" t="s">
        <v>174</v>
      </c>
      <c r="E50" s="37" t="s">
        <v>292</v>
      </c>
      <c r="F50" s="13" t="s">
        <v>331</v>
      </c>
      <c r="G50" s="10" t="s">
        <v>212</v>
      </c>
      <c r="H50" s="72">
        <f>'проект бюджета 2013'!H192</f>
        <v>1224.292</v>
      </c>
      <c r="I50" s="72">
        <f>'проект бюджета 2013'!I192</f>
        <v>848.7</v>
      </c>
      <c r="J50" s="56">
        <f>I50-H50</f>
        <v>-375.59199999999987</v>
      </c>
      <c r="K50" s="72">
        <f>'проект бюджета 2013'!K192</f>
        <v>848.8000000000001</v>
      </c>
      <c r="L50" s="72">
        <f>'проект бюджета 2013'!M192</f>
        <v>361.645</v>
      </c>
      <c r="M50" s="55">
        <f>'проект бюджета 2013'!N192</f>
        <v>278.491</v>
      </c>
      <c r="N50" s="55">
        <f>'проект бюджета 2013'!O192</f>
        <v>278.491</v>
      </c>
      <c r="O50" s="261">
        <f t="shared" si="0"/>
        <v>100</v>
      </c>
    </row>
    <row r="51" spans="1:15" ht="15.75">
      <c r="A51" s="128" t="s">
        <v>416</v>
      </c>
      <c r="B51" s="6"/>
      <c r="C51" s="45"/>
      <c r="D51" s="45"/>
      <c r="E51" s="130"/>
      <c r="F51" s="130"/>
      <c r="G51" s="28"/>
      <c r="H51" s="131"/>
      <c r="I51" s="131"/>
      <c r="J51" s="56"/>
      <c r="K51" s="131"/>
      <c r="L51" s="131"/>
      <c r="M51" s="57">
        <f>M56+M82+M69+M52</f>
        <v>6531.831</v>
      </c>
      <c r="N51" s="57">
        <f>N56+N82+N69+N52</f>
        <v>6531.83008</v>
      </c>
      <c r="O51" s="261">
        <f t="shared" si="0"/>
        <v>99.99998591512855</v>
      </c>
    </row>
    <row r="52" spans="1:15" ht="14.25">
      <c r="A52" s="6" t="s">
        <v>437</v>
      </c>
      <c r="B52" s="12"/>
      <c r="C52" s="37" t="s">
        <v>140</v>
      </c>
      <c r="D52" s="37" t="s">
        <v>252</v>
      </c>
      <c r="E52" s="13" t="s">
        <v>417</v>
      </c>
      <c r="F52" s="15"/>
      <c r="G52" s="157"/>
      <c r="H52" s="131"/>
      <c r="I52" s="131"/>
      <c r="J52" s="56"/>
      <c r="K52" s="131"/>
      <c r="L52" s="131"/>
      <c r="M52" s="57">
        <f aca="true" t="shared" si="2" ref="M52:N54">M53</f>
        <v>20</v>
      </c>
      <c r="N52" s="55">
        <f t="shared" si="2"/>
        <v>20</v>
      </c>
      <c r="O52" s="261">
        <f t="shared" si="0"/>
        <v>100</v>
      </c>
    </row>
    <row r="53" spans="1:15" ht="63.75">
      <c r="A53" s="109" t="s">
        <v>435</v>
      </c>
      <c r="B53" s="12"/>
      <c r="C53" s="37" t="s">
        <v>140</v>
      </c>
      <c r="D53" s="37" t="s">
        <v>252</v>
      </c>
      <c r="E53" s="13" t="s">
        <v>436</v>
      </c>
      <c r="F53" s="13"/>
      <c r="G53" s="34"/>
      <c r="H53" s="131"/>
      <c r="I53" s="131"/>
      <c r="J53" s="56"/>
      <c r="K53" s="131"/>
      <c r="L53" s="131"/>
      <c r="M53" s="57">
        <f t="shared" si="2"/>
        <v>20</v>
      </c>
      <c r="N53" s="55">
        <f t="shared" si="2"/>
        <v>20</v>
      </c>
      <c r="O53" s="261">
        <f t="shared" si="0"/>
        <v>100</v>
      </c>
    </row>
    <row r="54" spans="1:15" ht="25.5">
      <c r="A54" s="109" t="s">
        <v>97</v>
      </c>
      <c r="B54" s="12"/>
      <c r="C54" s="37" t="s">
        <v>140</v>
      </c>
      <c r="D54" s="37" t="s">
        <v>252</v>
      </c>
      <c r="E54" s="13" t="s">
        <v>436</v>
      </c>
      <c r="F54" s="13" t="s">
        <v>323</v>
      </c>
      <c r="G54" s="34"/>
      <c r="H54" s="131"/>
      <c r="I54" s="131"/>
      <c r="J54" s="56"/>
      <c r="K54" s="131"/>
      <c r="L54" s="131"/>
      <c r="M54" s="57">
        <f t="shared" si="2"/>
        <v>20</v>
      </c>
      <c r="N54" s="55">
        <f t="shared" si="2"/>
        <v>20</v>
      </c>
      <c r="O54" s="261">
        <f t="shared" si="0"/>
        <v>100</v>
      </c>
    </row>
    <row r="55" spans="1:15" ht="14.25">
      <c r="A55" s="6" t="s">
        <v>211</v>
      </c>
      <c r="B55" s="12"/>
      <c r="C55" s="37" t="s">
        <v>140</v>
      </c>
      <c r="D55" s="37" t="s">
        <v>252</v>
      </c>
      <c r="E55" s="13" t="s">
        <v>436</v>
      </c>
      <c r="F55" s="13" t="s">
        <v>323</v>
      </c>
      <c r="G55" s="34">
        <v>2</v>
      </c>
      <c r="H55" s="131"/>
      <c r="I55" s="131"/>
      <c r="J55" s="56"/>
      <c r="K55" s="131"/>
      <c r="L55" s="131"/>
      <c r="M55" s="57">
        <f>'15 (3)'!M56</f>
        <v>20</v>
      </c>
      <c r="N55" s="55">
        <f>'15 (3)'!N56</f>
        <v>20</v>
      </c>
      <c r="O55" s="261">
        <f t="shared" si="0"/>
        <v>100</v>
      </c>
    </row>
    <row r="56" spans="1:15" ht="29.25" customHeight="1">
      <c r="A56" s="105" t="s">
        <v>377</v>
      </c>
      <c r="B56" s="6"/>
      <c r="C56" s="45"/>
      <c r="D56" s="45"/>
      <c r="E56" s="130" t="s">
        <v>161</v>
      </c>
      <c r="F56" s="130"/>
      <c r="G56" s="28"/>
      <c r="H56" s="131"/>
      <c r="I56" s="131"/>
      <c r="J56" s="56"/>
      <c r="K56" s="131"/>
      <c r="L56" s="131"/>
      <c r="M56" s="57">
        <f>M57+M60+M63+M66</f>
        <v>1352</v>
      </c>
      <c r="N56" s="57">
        <f>N57+N60+N63+N66</f>
        <v>1352</v>
      </c>
      <c r="O56" s="261">
        <f t="shared" si="0"/>
        <v>100</v>
      </c>
    </row>
    <row r="57" spans="1:15" ht="14.25">
      <c r="A57" s="4" t="s">
        <v>112</v>
      </c>
      <c r="B57" s="6"/>
      <c r="C57" s="12" t="s">
        <v>145</v>
      </c>
      <c r="D57" s="11" t="s">
        <v>177</v>
      </c>
      <c r="E57" s="80" t="s">
        <v>161</v>
      </c>
      <c r="F57" s="150"/>
      <c r="G57" s="34"/>
      <c r="H57" s="151"/>
      <c r="I57" s="151"/>
      <c r="J57" s="113"/>
      <c r="K57" s="151"/>
      <c r="L57" s="151"/>
      <c r="M57" s="55">
        <f>M58</f>
        <v>120</v>
      </c>
      <c r="N57" s="55">
        <f>N58</f>
        <v>120</v>
      </c>
      <c r="O57" s="261">
        <f t="shared" si="0"/>
        <v>100</v>
      </c>
    </row>
    <row r="58" spans="1:15" ht="14.25" customHeight="1">
      <c r="A58" s="6" t="s">
        <v>318</v>
      </c>
      <c r="B58" s="6"/>
      <c r="C58" s="12" t="s">
        <v>145</v>
      </c>
      <c r="D58" s="11" t="s">
        <v>177</v>
      </c>
      <c r="E58" s="80" t="s">
        <v>161</v>
      </c>
      <c r="F58" s="150" t="s">
        <v>316</v>
      </c>
      <c r="G58" s="34"/>
      <c r="H58" s="151"/>
      <c r="I58" s="151"/>
      <c r="J58" s="113"/>
      <c r="K58" s="151"/>
      <c r="L58" s="151"/>
      <c r="M58" s="55">
        <f>M59</f>
        <v>120</v>
      </c>
      <c r="N58" s="55">
        <f>N59</f>
        <v>120</v>
      </c>
      <c r="O58" s="261">
        <f t="shared" si="0"/>
        <v>100</v>
      </c>
    </row>
    <row r="59" spans="1:15" ht="14.25">
      <c r="A59" s="6" t="s">
        <v>211</v>
      </c>
      <c r="B59" s="6"/>
      <c r="C59" s="12" t="s">
        <v>145</v>
      </c>
      <c r="D59" s="11" t="s">
        <v>177</v>
      </c>
      <c r="E59" s="80" t="s">
        <v>161</v>
      </c>
      <c r="F59" s="150" t="s">
        <v>316</v>
      </c>
      <c r="G59" s="34">
        <v>2</v>
      </c>
      <c r="H59" s="151"/>
      <c r="I59" s="151"/>
      <c r="J59" s="113"/>
      <c r="K59" s="151"/>
      <c r="L59" s="151"/>
      <c r="M59" s="55">
        <f>'15 (3)'!M179</f>
        <v>120</v>
      </c>
      <c r="N59" s="55">
        <f>'15 (3)'!N179</f>
        <v>120</v>
      </c>
      <c r="O59" s="261">
        <f t="shared" si="0"/>
        <v>100</v>
      </c>
    </row>
    <row r="60" spans="1:15" ht="14.25">
      <c r="A60" s="4" t="s">
        <v>3</v>
      </c>
      <c r="B60" s="4"/>
      <c r="C60" s="11" t="s">
        <v>145</v>
      </c>
      <c r="D60" s="11" t="s">
        <v>178</v>
      </c>
      <c r="E60" s="80" t="s">
        <v>161</v>
      </c>
      <c r="F60" s="150"/>
      <c r="G60" s="34"/>
      <c r="H60" s="151"/>
      <c r="I60" s="151"/>
      <c r="J60" s="113"/>
      <c r="K60" s="151"/>
      <c r="L60" s="151"/>
      <c r="M60" s="55">
        <f>M61</f>
        <v>801.6</v>
      </c>
      <c r="N60" s="55">
        <f>N61</f>
        <v>801.6</v>
      </c>
      <c r="O60" s="261">
        <f t="shared" si="0"/>
        <v>100</v>
      </c>
    </row>
    <row r="61" spans="1:15" ht="14.25" customHeight="1">
      <c r="A61" s="6" t="s">
        <v>318</v>
      </c>
      <c r="B61" s="6"/>
      <c r="C61" s="11" t="s">
        <v>145</v>
      </c>
      <c r="D61" s="11" t="s">
        <v>178</v>
      </c>
      <c r="E61" s="80" t="s">
        <v>161</v>
      </c>
      <c r="F61" s="150" t="s">
        <v>316</v>
      </c>
      <c r="G61" s="34"/>
      <c r="H61" s="151"/>
      <c r="I61" s="151"/>
      <c r="J61" s="113"/>
      <c r="K61" s="151"/>
      <c r="L61" s="151"/>
      <c r="M61" s="55">
        <f>M62</f>
        <v>801.6</v>
      </c>
      <c r="N61" s="55">
        <f>N62</f>
        <v>801.6</v>
      </c>
      <c r="O61" s="261">
        <f t="shared" si="0"/>
        <v>100</v>
      </c>
    </row>
    <row r="62" spans="1:15" ht="14.25">
      <c r="A62" s="6" t="s">
        <v>211</v>
      </c>
      <c r="B62" s="6"/>
      <c r="C62" s="11" t="s">
        <v>145</v>
      </c>
      <c r="D62" s="11" t="s">
        <v>178</v>
      </c>
      <c r="E62" s="80" t="s">
        <v>161</v>
      </c>
      <c r="F62" s="150" t="s">
        <v>316</v>
      </c>
      <c r="G62" s="34">
        <v>2</v>
      </c>
      <c r="H62" s="151"/>
      <c r="I62" s="151"/>
      <c r="J62" s="113"/>
      <c r="K62" s="151"/>
      <c r="L62" s="151"/>
      <c r="M62" s="55">
        <f>'15 (3)'!M221</f>
        <v>801.6</v>
      </c>
      <c r="N62" s="55">
        <f>'15 (3)'!N221</f>
        <v>801.6</v>
      </c>
      <c r="O62" s="261">
        <f t="shared" si="0"/>
        <v>100</v>
      </c>
    </row>
    <row r="63" spans="1:15" ht="14.25">
      <c r="A63" s="4" t="s">
        <v>13</v>
      </c>
      <c r="B63" s="6"/>
      <c r="C63" s="11" t="s">
        <v>146</v>
      </c>
      <c r="D63" s="11" t="s">
        <v>181</v>
      </c>
      <c r="E63" s="80" t="s">
        <v>161</v>
      </c>
      <c r="F63" s="150"/>
      <c r="G63" s="34"/>
      <c r="H63" s="151"/>
      <c r="I63" s="151"/>
      <c r="J63" s="113"/>
      <c r="K63" s="151"/>
      <c r="L63" s="151"/>
      <c r="M63" s="55">
        <f>M64</f>
        <v>65.4</v>
      </c>
      <c r="N63" s="55">
        <f>N64</f>
        <v>65.4</v>
      </c>
      <c r="O63" s="261">
        <f t="shared" si="0"/>
        <v>100</v>
      </c>
    </row>
    <row r="64" spans="1:15" ht="13.5" customHeight="1">
      <c r="A64" s="6" t="s">
        <v>318</v>
      </c>
      <c r="B64" s="6"/>
      <c r="C64" s="11" t="s">
        <v>146</v>
      </c>
      <c r="D64" s="11" t="s">
        <v>181</v>
      </c>
      <c r="E64" s="80" t="s">
        <v>161</v>
      </c>
      <c r="F64" s="150" t="s">
        <v>316</v>
      </c>
      <c r="G64" s="34"/>
      <c r="H64" s="151"/>
      <c r="I64" s="151"/>
      <c r="J64" s="113"/>
      <c r="K64" s="151"/>
      <c r="L64" s="151"/>
      <c r="M64" s="55">
        <f>M65</f>
        <v>65.4</v>
      </c>
      <c r="N64" s="55">
        <f>N65</f>
        <v>65.4</v>
      </c>
      <c r="O64" s="261">
        <f t="shared" si="0"/>
        <v>100</v>
      </c>
    </row>
    <row r="65" spans="1:15" ht="14.25">
      <c r="A65" s="6" t="s">
        <v>211</v>
      </c>
      <c r="B65" s="6"/>
      <c r="C65" s="11" t="s">
        <v>146</v>
      </c>
      <c r="D65" s="11" t="s">
        <v>181</v>
      </c>
      <c r="E65" s="80" t="s">
        <v>161</v>
      </c>
      <c r="F65" s="150" t="s">
        <v>316</v>
      </c>
      <c r="G65" s="34">
        <v>2</v>
      </c>
      <c r="H65" s="151"/>
      <c r="I65" s="151"/>
      <c r="J65" s="113"/>
      <c r="K65" s="151"/>
      <c r="L65" s="151"/>
      <c r="M65" s="55">
        <f>'15 (3)'!M332</f>
        <v>65.4</v>
      </c>
      <c r="N65" s="55">
        <f>'15 (3)'!N332</f>
        <v>65.4</v>
      </c>
      <c r="O65" s="261">
        <f t="shared" si="0"/>
        <v>100</v>
      </c>
    </row>
    <row r="66" spans="1:15" ht="25.5">
      <c r="A66" s="107" t="s">
        <v>276</v>
      </c>
      <c r="B66" s="11" t="s">
        <v>165</v>
      </c>
      <c r="C66" s="11" t="s">
        <v>258</v>
      </c>
      <c r="D66" s="11" t="s">
        <v>274</v>
      </c>
      <c r="E66" s="80" t="s">
        <v>161</v>
      </c>
      <c r="F66" s="150"/>
      <c r="G66" s="34"/>
      <c r="H66" s="151"/>
      <c r="I66" s="151"/>
      <c r="J66" s="113"/>
      <c r="K66" s="151"/>
      <c r="L66" s="151"/>
      <c r="M66" s="55">
        <f>M67</f>
        <v>365</v>
      </c>
      <c r="N66" s="55">
        <f>N67</f>
        <v>365</v>
      </c>
      <c r="O66" s="261">
        <f t="shared" si="0"/>
        <v>100</v>
      </c>
    </row>
    <row r="67" spans="1:15" ht="14.25">
      <c r="A67" s="105" t="s">
        <v>195</v>
      </c>
      <c r="B67" s="11"/>
      <c r="C67" s="11" t="s">
        <v>258</v>
      </c>
      <c r="D67" s="11" t="s">
        <v>274</v>
      </c>
      <c r="E67" s="37" t="s">
        <v>161</v>
      </c>
      <c r="F67" s="37" t="s">
        <v>376</v>
      </c>
      <c r="G67" s="34"/>
      <c r="H67" s="151"/>
      <c r="I67" s="151"/>
      <c r="J67" s="113"/>
      <c r="K67" s="151"/>
      <c r="L67" s="151"/>
      <c r="M67" s="55">
        <f>M68</f>
        <v>365</v>
      </c>
      <c r="N67" s="55">
        <f>N68</f>
        <v>365</v>
      </c>
      <c r="O67" s="261">
        <f t="shared" si="0"/>
        <v>100</v>
      </c>
    </row>
    <row r="68" spans="1:15" ht="14.25">
      <c r="A68" s="6" t="s">
        <v>211</v>
      </c>
      <c r="B68" s="11"/>
      <c r="C68" s="11" t="s">
        <v>258</v>
      </c>
      <c r="D68" s="11" t="s">
        <v>274</v>
      </c>
      <c r="E68" s="37" t="s">
        <v>161</v>
      </c>
      <c r="F68" s="37" t="s">
        <v>376</v>
      </c>
      <c r="G68" s="34">
        <v>2</v>
      </c>
      <c r="H68" s="151"/>
      <c r="I68" s="151"/>
      <c r="J68" s="113"/>
      <c r="K68" s="151"/>
      <c r="L68" s="151"/>
      <c r="M68" s="55">
        <f>'15 (3)'!M462</f>
        <v>365</v>
      </c>
      <c r="N68" s="55">
        <f>'15 (3)'!N462</f>
        <v>365</v>
      </c>
      <c r="O68" s="261">
        <f t="shared" si="0"/>
        <v>100</v>
      </c>
    </row>
    <row r="69" spans="1:15" ht="42.75" customHeight="1">
      <c r="A69" s="118" t="s">
        <v>427</v>
      </c>
      <c r="B69" s="3"/>
      <c r="C69" s="11"/>
      <c r="D69" s="11"/>
      <c r="E69" s="42" t="s">
        <v>368</v>
      </c>
      <c r="F69" s="13"/>
      <c r="G69" s="34"/>
      <c r="H69" s="151"/>
      <c r="I69" s="151"/>
      <c r="J69" s="113"/>
      <c r="K69" s="151"/>
      <c r="L69" s="151"/>
      <c r="M69" s="57">
        <f>M70</f>
        <v>5159.831</v>
      </c>
      <c r="N69" s="57">
        <f>N70</f>
        <v>5159.83008</v>
      </c>
      <c r="O69" s="261">
        <f t="shared" si="0"/>
        <v>99.99998216995866</v>
      </c>
    </row>
    <row r="70" spans="1:15" ht="14.25">
      <c r="A70" s="4" t="s">
        <v>14</v>
      </c>
      <c r="B70" s="4"/>
      <c r="C70" s="12" t="s">
        <v>145</v>
      </c>
      <c r="D70" s="11" t="s">
        <v>179</v>
      </c>
      <c r="E70" s="80" t="s">
        <v>368</v>
      </c>
      <c r="F70" s="13"/>
      <c r="G70" s="34"/>
      <c r="H70" s="151"/>
      <c r="I70" s="151"/>
      <c r="J70" s="113"/>
      <c r="K70" s="151"/>
      <c r="L70" s="151"/>
      <c r="M70" s="57">
        <f>M71</f>
        <v>5159.831</v>
      </c>
      <c r="N70" s="55">
        <f>N71</f>
        <v>5159.83008</v>
      </c>
      <c r="O70" s="261">
        <f t="shared" si="0"/>
        <v>99.99998216995866</v>
      </c>
    </row>
    <row r="71" spans="1:15" ht="25.5">
      <c r="A71" s="109" t="s">
        <v>371</v>
      </c>
      <c r="B71" s="3"/>
      <c r="C71" s="11" t="s">
        <v>145</v>
      </c>
      <c r="D71" s="11" t="s">
        <v>179</v>
      </c>
      <c r="E71" s="37" t="s">
        <v>369</v>
      </c>
      <c r="F71" s="13"/>
      <c r="G71" s="34"/>
      <c r="H71" s="151"/>
      <c r="I71" s="151"/>
      <c r="J71" s="113"/>
      <c r="K71" s="151"/>
      <c r="L71" s="151"/>
      <c r="M71" s="55">
        <f>M77</f>
        <v>5159.831</v>
      </c>
      <c r="N71" s="55">
        <f>N77+N72</f>
        <v>5159.83008</v>
      </c>
      <c r="O71" s="261">
        <f t="shared" si="0"/>
        <v>99.99998216995866</v>
      </c>
    </row>
    <row r="72" spans="1:15" s="193" customFormat="1" ht="15" hidden="1">
      <c r="A72" s="195"/>
      <c r="B72" s="197"/>
      <c r="C72" s="189"/>
      <c r="D72" s="189"/>
      <c r="E72" s="196"/>
      <c r="F72" s="188"/>
      <c r="G72" s="190"/>
      <c r="H72" s="198"/>
      <c r="I72" s="198"/>
      <c r="J72" s="199"/>
      <c r="K72" s="198"/>
      <c r="L72" s="198"/>
      <c r="M72" s="191"/>
      <c r="N72" s="191"/>
      <c r="O72" s="261" t="e">
        <f t="shared" si="0"/>
        <v>#DIV/0!</v>
      </c>
    </row>
    <row r="73" spans="1:15" s="193" customFormat="1" ht="16.5" customHeight="1" hidden="1">
      <c r="A73" s="6"/>
      <c r="B73" s="197"/>
      <c r="C73" s="189"/>
      <c r="D73" s="189"/>
      <c r="E73" s="196"/>
      <c r="F73" s="171"/>
      <c r="G73" s="190"/>
      <c r="H73" s="198"/>
      <c r="I73" s="198"/>
      <c r="J73" s="199"/>
      <c r="K73" s="198"/>
      <c r="L73" s="198"/>
      <c r="M73" s="191"/>
      <c r="N73" s="191"/>
      <c r="O73" s="261" t="e">
        <f t="shared" si="0"/>
        <v>#DIV/0!</v>
      </c>
    </row>
    <row r="74" spans="1:15" s="193" customFormat="1" ht="15" hidden="1">
      <c r="A74" s="195"/>
      <c r="B74" s="197"/>
      <c r="C74" s="189"/>
      <c r="D74" s="189"/>
      <c r="E74" s="196"/>
      <c r="F74" s="171"/>
      <c r="G74" s="190"/>
      <c r="H74" s="198"/>
      <c r="I74" s="198"/>
      <c r="J74" s="199"/>
      <c r="K74" s="198"/>
      <c r="L74" s="198"/>
      <c r="M74" s="191"/>
      <c r="N74" s="191"/>
      <c r="O74" s="261" t="e">
        <f t="shared" si="0"/>
        <v>#DIV/0!</v>
      </c>
    </row>
    <row r="75" spans="1:15" s="193" customFormat="1" ht="15" hidden="1">
      <c r="A75" s="194"/>
      <c r="B75" s="197"/>
      <c r="C75" s="189"/>
      <c r="D75" s="189"/>
      <c r="E75" s="196"/>
      <c r="F75" s="171"/>
      <c r="G75" s="190"/>
      <c r="H75" s="198"/>
      <c r="I75" s="198"/>
      <c r="J75" s="199"/>
      <c r="K75" s="198"/>
      <c r="L75" s="198"/>
      <c r="M75" s="191"/>
      <c r="N75" s="191"/>
      <c r="O75" s="261" t="e">
        <f t="shared" si="0"/>
        <v>#DIV/0!</v>
      </c>
    </row>
    <row r="76" spans="1:15" s="193" customFormat="1" ht="15" hidden="1">
      <c r="A76" s="194"/>
      <c r="B76" s="197"/>
      <c r="C76" s="189"/>
      <c r="D76" s="189"/>
      <c r="E76" s="196"/>
      <c r="F76" s="171"/>
      <c r="G76" s="190"/>
      <c r="H76" s="198"/>
      <c r="I76" s="198"/>
      <c r="J76" s="199"/>
      <c r="K76" s="198"/>
      <c r="L76" s="198"/>
      <c r="M76" s="191"/>
      <c r="N76" s="191"/>
      <c r="O76" s="261" t="e">
        <f t="shared" si="0"/>
        <v>#DIV/0!</v>
      </c>
    </row>
    <row r="77" spans="1:15" ht="25.5">
      <c r="A77" s="118" t="s">
        <v>428</v>
      </c>
      <c r="B77" s="3"/>
      <c r="C77" s="11" t="s">
        <v>145</v>
      </c>
      <c r="D77" s="11" t="s">
        <v>179</v>
      </c>
      <c r="E77" s="37" t="s">
        <v>370</v>
      </c>
      <c r="F77" s="13"/>
      <c r="G77" s="34"/>
      <c r="H77" s="151"/>
      <c r="I77" s="151"/>
      <c r="J77" s="113"/>
      <c r="K77" s="151"/>
      <c r="L77" s="151"/>
      <c r="M77" s="55">
        <f>M78</f>
        <v>5159.831</v>
      </c>
      <c r="N77" s="55">
        <f>N78</f>
        <v>5159.83008</v>
      </c>
      <c r="O77" s="261">
        <f t="shared" si="0"/>
        <v>99.99998216995866</v>
      </c>
    </row>
    <row r="78" spans="1:15" ht="16.5" customHeight="1">
      <c r="A78" s="6" t="s">
        <v>318</v>
      </c>
      <c r="B78" s="3"/>
      <c r="C78" s="11" t="s">
        <v>145</v>
      </c>
      <c r="D78" s="11" t="s">
        <v>179</v>
      </c>
      <c r="E78" s="37" t="s">
        <v>370</v>
      </c>
      <c r="F78" s="13" t="s">
        <v>316</v>
      </c>
      <c r="G78" s="34"/>
      <c r="H78" s="151"/>
      <c r="I78" s="151"/>
      <c r="J78" s="113"/>
      <c r="K78" s="151"/>
      <c r="L78" s="151"/>
      <c r="M78" s="55">
        <f>M79+M80+M81</f>
        <v>5159.831</v>
      </c>
      <c r="N78" s="55">
        <f>N79+N80+N81</f>
        <v>5159.83008</v>
      </c>
      <c r="O78" s="261">
        <f t="shared" si="0"/>
        <v>99.99998216995866</v>
      </c>
    </row>
    <row r="79" spans="1:15" ht="14.25">
      <c r="A79" s="51" t="s">
        <v>210</v>
      </c>
      <c r="B79" s="3"/>
      <c r="C79" s="11" t="s">
        <v>145</v>
      </c>
      <c r="D79" s="11" t="s">
        <v>179</v>
      </c>
      <c r="E79" s="37" t="s">
        <v>370</v>
      </c>
      <c r="F79" s="13" t="s">
        <v>316</v>
      </c>
      <c r="G79" s="34">
        <v>1</v>
      </c>
      <c r="H79" s="151"/>
      <c r="I79" s="151"/>
      <c r="J79" s="113"/>
      <c r="K79" s="151"/>
      <c r="L79" s="151"/>
      <c r="M79" s="55">
        <f>'15 (3)'!M259</f>
        <v>0</v>
      </c>
      <c r="N79" s="55">
        <f>'15 (3)'!N259</f>
        <v>0</v>
      </c>
      <c r="O79" s="261"/>
    </row>
    <row r="80" spans="1:15" ht="14.25">
      <c r="A80" s="6" t="s">
        <v>211</v>
      </c>
      <c r="B80" s="3"/>
      <c r="C80" s="11" t="s">
        <v>145</v>
      </c>
      <c r="D80" s="11" t="s">
        <v>179</v>
      </c>
      <c r="E80" s="37" t="s">
        <v>370</v>
      </c>
      <c r="F80" s="13" t="s">
        <v>316</v>
      </c>
      <c r="G80" s="34">
        <v>2</v>
      </c>
      <c r="H80" s="151"/>
      <c r="I80" s="151"/>
      <c r="J80" s="113"/>
      <c r="K80" s="151"/>
      <c r="L80" s="151"/>
      <c r="M80" s="55">
        <f>'15 (3)'!M260</f>
        <v>4644</v>
      </c>
      <c r="N80" s="55">
        <f>'15 (3)'!N260</f>
        <v>4644</v>
      </c>
      <c r="O80" s="261">
        <f aca="true" t="shared" si="3" ref="O79:O142">N80/M80*100</f>
        <v>100</v>
      </c>
    </row>
    <row r="81" spans="1:15" ht="14.25">
      <c r="A81" s="6" t="s">
        <v>209</v>
      </c>
      <c r="B81" s="3"/>
      <c r="C81" s="11" t="s">
        <v>145</v>
      </c>
      <c r="D81" s="11" t="s">
        <v>179</v>
      </c>
      <c r="E81" s="37" t="s">
        <v>370</v>
      </c>
      <c r="F81" s="13" t="s">
        <v>316</v>
      </c>
      <c r="G81" s="34">
        <v>3</v>
      </c>
      <c r="H81" s="151"/>
      <c r="I81" s="151"/>
      <c r="J81" s="113"/>
      <c r="K81" s="151"/>
      <c r="L81" s="151"/>
      <c r="M81" s="55">
        <f>'15 (3)'!M261</f>
        <v>515.831</v>
      </c>
      <c r="N81" s="55">
        <f>'15 (3)'!N261</f>
        <v>515.83008</v>
      </c>
      <c r="O81" s="261">
        <f t="shared" si="3"/>
        <v>99.99982164701228</v>
      </c>
    </row>
    <row r="82" spans="1:15" ht="14.25">
      <c r="A82" s="4" t="s">
        <v>14</v>
      </c>
      <c r="B82" s="4"/>
      <c r="C82" s="12" t="s">
        <v>145</v>
      </c>
      <c r="D82" s="11" t="s">
        <v>179</v>
      </c>
      <c r="E82" s="13" t="s">
        <v>417</v>
      </c>
      <c r="F82" s="13"/>
      <c r="G82" s="34"/>
      <c r="H82" s="78"/>
      <c r="I82" s="78"/>
      <c r="J82" s="56"/>
      <c r="K82" s="78"/>
      <c r="L82" s="78"/>
      <c r="M82" s="55">
        <f>M83</f>
        <v>0</v>
      </c>
      <c r="N82" s="55">
        <f>N83</f>
        <v>0</v>
      </c>
      <c r="O82" s="261"/>
    </row>
    <row r="83" spans="1:15" ht="38.25">
      <c r="A83" s="109" t="s">
        <v>405</v>
      </c>
      <c r="B83" s="3"/>
      <c r="C83" s="11" t="s">
        <v>145</v>
      </c>
      <c r="D83" s="11" t="s">
        <v>179</v>
      </c>
      <c r="E83" s="37" t="s">
        <v>406</v>
      </c>
      <c r="F83" s="13"/>
      <c r="G83" s="34"/>
      <c r="H83" s="72"/>
      <c r="I83" s="72"/>
      <c r="J83" s="56"/>
      <c r="K83" s="72"/>
      <c r="L83" s="72"/>
      <c r="M83" s="55">
        <f>M84</f>
        <v>0</v>
      </c>
      <c r="N83" s="55">
        <f>N84</f>
        <v>0</v>
      </c>
      <c r="O83" s="261"/>
    </row>
    <row r="84" spans="1:15" ht="17.25" customHeight="1">
      <c r="A84" s="6" t="s">
        <v>318</v>
      </c>
      <c r="B84" s="3"/>
      <c r="C84" s="11" t="s">
        <v>145</v>
      </c>
      <c r="D84" s="11" t="s">
        <v>179</v>
      </c>
      <c r="E84" s="80" t="s">
        <v>406</v>
      </c>
      <c r="F84" s="13" t="s">
        <v>316</v>
      </c>
      <c r="G84" s="34"/>
      <c r="H84" s="72"/>
      <c r="I84" s="72"/>
      <c r="J84" s="56"/>
      <c r="K84" s="72"/>
      <c r="L84" s="72"/>
      <c r="M84" s="55">
        <f>M85+M86</f>
        <v>0</v>
      </c>
      <c r="N84" s="55">
        <f>N85+N86</f>
        <v>0</v>
      </c>
      <c r="O84" s="261"/>
    </row>
    <row r="85" spans="1:15" ht="14.25">
      <c r="A85" s="109" t="s">
        <v>211</v>
      </c>
      <c r="B85" s="3"/>
      <c r="C85" s="11" t="s">
        <v>145</v>
      </c>
      <c r="D85" s="11" t="s">
        <v>179</v>
      </c>
      <c r="E85" s="80" t="s">
        <v>406</v>
      </c>
      <c r="F85" s="13" t="s">
        <v>316</v>
      </c>
      <c r="G85" s="34">
        <v>2</v>
      </c>
      <c r="H85" s="72"/>
      <c r="I85" s="72"/>
      <c r="J85" s="56"/>
      <c r="K85" s="72"/>
      <c r="L85" s="72"/>
      <c r="M85" s="55">
        <f>'проект бюджета 2013'!N433</f>
        <v>0</v>
      </c>
      <c r="N85" s="55">
        <f>'проект бюджета 2013'!O433</f>
        <v>0</v>
      </c>
      <c r="O85" s="261"/>
    </row>
    <row r="86" spans="1:15" ht="14.25">
      <c r="A86" s="5" t="s">
        <v>209</v>
      </c>
      <c r="B86" s="3"/>
      <c r="C86" s="11" t="s">
        <v>145</v>
      </c>
      <c r="D86" s="11" t="s">
        <v>179</v>
      </c>
      <c r="E86" s="80" t="s">
        <v>406</v>
      </c>
      <c r="F86" s="13" t="s">
        <v>316</v>
      </c>
      <c r="G86" s="34">
        <v>3</v>
      </c>
      <c r="H86" s="72"/>
      <c r="I86" s="72"/>
      <c r="J86" s="56"/>
      <c r="K86" s="72"/>
      <c r="L86" s="72"/>
      <c r="M86" s="55">
        <f>'15 (3)'!M296</f>
        <v>0</v>
      </c>
      <c r="N86" s="55">
        <f>'15 (3)'!N296</f>
        <v>0</v>
      </c>
      <c r="O86" s="261"/>
    </row>
    <row r="87" spans="1:15" ht="31.5">
      <c r="A87" s="128" t="s">
        <v>221</v>
      </c>
      <c r="B87" s="3"/>
      <c r="C87" s="12"/>
      <c r="D87" s="11"/>
      <c r="E87" s="45" t="s">
        <v>156</v>
      </c>
      <c r="F87" s="133"/>
      <c r="G87" s="132"/>
      <c r="H87" s="129"/>
      <c r="I87" s="129"/>
      <c r="J87" s="56"/>
      <c r="K87" s="129"/>
      <c r="L87" s="129"/>
      <c r="M87" s="57">
        <f>M88+M101+M105+M109+M113+M122+M135+M131</f>
        <v>9932.456999999999</v>
      </c>
      <c r="N87" s="57">
        <f>N88+N101+N105+N109+N113+N122+N135+N131</f>
        <v>9997.54163</v>
      </c>
      <c r="O87" s="261">
        <f t="shared" si="3"/>
        <v>100.65527220505462</v>
      </c>
    </row>
    <row r="88" spans="1:15" ht="14.25">
      <c r="A88" s="4" t="s">
        <v>39</v>
      </c>
      <c r="B88" s="4"/>
      <c r="C88" s="11" t="s">
        <v>140</v>
      </c>
      <c r="D88" s="11" t="s">
        <v>252</v>
      </c>
      <c r="E88" s="13" t="s">
        <v>156</v>
      </c>
      <c r="F88" s="13"/>
      <c r="G88" s="34"/>
      <c r="H88" s="78"/>
      <c r="I88" s="78"/>
      <c r="J88" s="56"/>
      <c r="K88" s="78"/>
      <c r="L88" s="78"/>
      <c r="M88" s="55">
        <f>M89+M92+M95+M98</f>
        <v>4004.35</v>
      </c>
      <c r="N88" s="55">
        <f>N89+N92+N95+N98</f>
        <v>3990.03553</v>
      </c>
      <c r="O88" s="261">
        <f t="shared" si="3"/>
        <v>99.64252700188545</v>
      </c>
    </row>
    <row r="89" spans="1:15" ht="38.25">
      <c r="A89" s="105" t="s">
        <v>358</v>
      </c>
      <c r="B89" s="3"/>
      <c r="C89" s="12" t="s">
        <v>140</v>
      </c>
      <c r="D89" s="11" t="s">
        <v>252</v>
      </c>
      <c r="E89" s="13" t="s">
        <v>357</v>
      </c>
      <c r="F89" s="13"/>
      <c r="G89" s="34"/>
      <c r="H89" s="78"/>
      <c r="I89" s="78"/>
      <c r="J89" s="56"/>
      <c r="K89" s="78"/>
      <c r="L89" s="62">
        <f aca="true" t="shared" si="4" ref="L89:N90">L90</f>
        <v>50</v>
      </c>
      <c r="M89" s="55">
        <f t="shared" si="4"/>
        <v>295</v>
      </c>
      <c r="N89" s="55">
        <f t="shared" si="4"/>
        <v>295</v>
      </c>
      <c r="O89" s="261">
        <f t="shared" si="3"/>
        <v>100</v>
      </c>
    </row>
    <row r="90" spans="1:15" ht="25.5">
      <c r="A90" s="105" t="s">
        <v>97</v>
      </c>
      <c r="B90" s="3"/>
      <c r="C90" s="12" t="s">
        <v>140</v>
      </c>
      <c r="D90" s="11" t="s">
        <v>252</v>
      </c>
      <c r="E90" s="13" t="s">
        <v>357</v>
      </c>
      <c r="F90" s="13" t="s">
        <v>323</v>
      </c>
      <c r="G90" s="34"/>
      <c r="H90" s="78"/>
      <c r="I90" s="78"/>
      <c r="J90" s="56"/>
      <c r="K90" s="78"/>
      <c r="L90" s="62">
        <f t="shared" si="4"/>
        <v>50</v>
      </c>
      <c r="M90" s="55">
        <f t="shared" si="4"/>
        <v>295</v>
      </c>
      <c r="N90" s="55">
        <f t="shared" si="4"/>
        <v>295</v>
      </c>
      <c r="O90" s="261">
        <f t="shared" si="3"/>
        <v>100</v>
      </c>
    </row>
    <row r="91" spans="1:15" ht="14.25">
      <c r="A91" s="5" t="s">
        <v>209</v>
      </c>
      <c r="B91" s="3"/>
      <c r="C91" s="12" t="s">
        <v>140</v>
      </c>
      <c r="D91" s="11" t="s">
        <v>252</v>
      </c>
      <c r="E91" s="13" t="s">
        <v>357</v>
      </c>
      <c r="F91" s="13" t="s">
        <v>323</v>
      </c>
      <c r="G91" s="34">
        <v>3</v>
      </c>
      <c r="H91" s="78"/>
      <c r="I91" s="78"/>
      <c r="J91" s="56"/>
      <c r="K91" s="78"/>
      <c r="L91" s="62">
        <f>'проект бюджета 2013'!M63</f>
        <v>50</v>
      </c>
      <c r="M91" s="55">
        <f>'проект бюджета 2013'!N63</f>
        <v>295</v>
      </c>
      <c r="N91" s="55">
        <f>'проект бюджета 2013'!O63</f>
        <v>295</v>
      </c>
      <c r="O91" s="261">
        <f t="shared" si="3"/>
        <v>100</v>
      </c>
    </row>
    <row r="92" spans="1:15" ht="51">
      <c r="A92" s="105" t="s">
        <v>394</v>
      </c>
      <c r="B92" s="3"/>
      <c r="C92" s="12" t="s">
        <v>140</v>
      </c>
      <c r="D92" s="11" t="s">
        <v>252</v>
      </c>
      <c r="E92" s="13" t="s">
        <v>408</v>
      </c>
      <c r="F92" s="13"/>
      <c r="G92" s="34"/>
      <c r="H92" s="78"/>
      <c r="I92" s="78"/>
      <c r="J92" s="56"/>
      <c r="K92" s="78"/>
      <c r="L92" s="62"/>
      <c r="M92" s="55">
        <f>M93</f>
        <v>218.99999999999997</v>
      </c>
      <c r="N92" s="55">
        <f>N93</f>
        <v>205</v>
      </c>
      <c r="O92" s="261">
        <f t="shared" si="3"/>
        <v>93.60730593607308</v>
      </c>
    </row>
    <row r="93" spans="1:15" ht="25.5">
      <c r="A93" s="6" t="s">
        <v>97</v>
      </c>
      <c r="B93" s="3"/>
      <c r="C93" s="12" t="s">
        <v>140</v>
      </c>
      <c r="D93" s="11" t="s">
        <v>252</v>
      </c>
      <c r="E93" s="13" t="s">
        <v>408</v>
      </c>
      <c r="F93" s="13" t="s">
        <v>323</v>
      </c>
      <c r="G93" s="34"/>
      <c r="H93" s="78"/>
      <c r="I93" s="78"/>
      <c r="J93" s="56"/>
      <c r="K93" s="78"/>
      <c r="L93" s="62"/>
      <c r="M93" s="55">
        <f>M94</f>
        <v>218.99999999999997</v>
      </c>
      <c r="N93" s="55">
        <f>N94</f>
        <v>205</v>
      </c>
      <c r="O93" s="261">
        <f t="shared" si="3"/>
        <v>93.60730593607308</v>
      </c>
    </row>
    <row r="94" spans="1:15" ht="14.25">
      <c r="A94" s="5" t="s">
        <v>209</v>
      </c>
      <c r="B94" s="3"/>
      <c r="C94" s="12" t="s">
        <v>140</v>
      </c>
      <c r="D94" s="11" t="s">
        <v>252</v>
      </c>
      <c r="E94" s="13" t="s">
        <v>408</v>
      </c>
      <c r="F94" s="13" t="s">
        <v>323</v>
      </c>
      <c r="G94" s="34">
        <v>3</v>
      </c>
      <c r="H94" s="78"/>
      <c r="I94" s="78"/>
      <c r="J94" s="56"/>
      <c r="K94" s="78"/>
      <c r="L94" s="62"/>
      <c r="M94" s="55">
        <f>'проект бюджета 2013'!N66</f>
        <v>218.99999999999997</v>
      </c>
      <c r="N94" s="55">
        <f>'проект бюджета 2013'!O66</f>
        <v>205</v>
      </c>
      <c r="O94" s="261">
        <f t="shared" si="3"/>
        <v>93.60730593607308</v>
      </c>
    </row>
    <row r="95" spans="1:15" ht="38.25">
      <c r="A95" s="105" t="s">
        <v>395</v>
      </c>
      <c r="B95" s="3"/>
      <c r="C95" s="12" t="s">
        <v>140</v>
      </c>
      <c r="D95" s="11" t="s">
        <v>252</v>
      </c>
      <c r="E95" s="13" t="s">
        <v>409</v>
      </c>
      <c r="F95" s="13"/>
      <c r="G95" s="34"/>
      <c r="H95" s="78"/>
      <c r="I95" s="78"/>
      <c r="J95" s="56"/>
      <c r="K95" s="78"/>
      <c r="L95" s="62"/>
      <c r="M95" s="55">
        <f>M96</f>
        <v>51.15</v>
      </c>
      <c r="N95" s="55">
        <f>N96</f>
        <v>51.15</v>
      </c>
      <c r="O95" s="261">
        <f t="shared" si="3"/>
        <v>100</v>
      </c>
    </row>
    <row r="96" spans="1:15" ht="25.5">
      <c r="A96" s="6" t="s">
        <v>97</v>
      </c>
      <c r="B96" s="3"/>
      <c r="C96" s="12" t="s">
        <v>140</v>
      </c>
      <c r="D96" s="11" t="s">
        <v>252</v>
      </c>
      <c r="E96" s="13" t="s">
        <v>409</v>
      </c>
      <c r="F96" s="13" t="s">
        <v>323</v>
      </c>
      <c r="G96" s="34"/>
      <c r="H96" s="78"/>
      <c r="I96" s="78"/>
      <c r="J96" s="56"/>
      <c r="K96" s="78"/>
      <c r="L96" s="62"/>
      <c r="M96" s="55">
        <f>M97</f>
        <v>51.15</v>
      </c>
      <c r="N96" s="55">
        <f>N97</f>
        <v>51.15</v>
      </c>
      <c r="O96" s="261">
        <f t="shared" si="3"/>
        <v>100</v>
      </c>
    </row>
    <row r="97" spans="1:15" ht="14.25">
      <c r="A97" s="5" t="s">
        <v>209</v>
      </c>
      <c r="B97" s="3"/>
      <c r="C97" s="12" t="s">
        <v>140</v>
      </c>
      <c r="D97" s="11" t="s">
        <v>252</v>
      </c>
      <c r="E97" s="13" t="s">
        <v>409</v>
      </c>
      <c r="F97" s="13" t="s">
        <v>323</v>
      </c>
      <c r="G97" s="34">
        <v>3</v>
      </c>
      <c r="H97" s="78"/>
      <c r="I97" s="78"/>
      <c r="J97" s="56"/>
      <c r="K97" s="78"/>
      <c r="L97" s="62"/>
      <c r="M97" s="55">
        <f>'проект бюджета 2013'!N69</f>
        <v>51.15</v>
      </c>
      <c r="N97" s="55">
        <f>'проект бюджета 2013'!O69</f>
        <v>51.15</v>
      </c>
      <c r="O97" s="261">
        <f t="shared" si="3"/>
        <v>100</v>
      </c>
    </row>
    <row r="98" spans="1:15" ht="38.25">
      <c r="A98" s="105" t="s">
        <v>396</v>
      </c>
      <c r="B98" s="3"/>
      <c r="C98" s="12" t="s">
        <v>140</v>
      </c>
      <c r="D98" s="11" t="s">
        <v>252</v>
      </c>
      <c r="E98" s="13" t="s">
        <v>410</v>
      </c>
      <c r="F98" s="13"/>
      <c r="G98" s="34"/>
      <c r="H98" s="78"/>
      <c r="I98" s="78"/>
      <c r="J98" s="56"/>
      <c r="K98" s="78"/>
      <c r="L98" s="62"/>
      <c r="M98" s="55">
        <f>M99</f>
        <v>3439.2</v>
      </c>
      <c r="N98" s="55">
        <f>N99</f>
        <v>3438.88553</v>
      </c>
      <c r="O98" s="261">
        <f t="shared" si="3"/>
        <v>99.99085630379159</v>
      </c>
    </row>
    <row r="99" spans="1:15" ht="25.5">
      <c r="A99" s="6" t="s">
        <v>97</v>
      </c>
      <c r="B99" s="3"/>
      <c r="C99" s="12" t="s">
        <v>140</v>
      </c>
      <c r="D99" s="11" t="s">
        <v>252</v>
      </c>
      <c r="E99" s="13" t="s">
        <v>410</v>
      </c>
      <c r="F99" s="13" t="s">
        <v>323</v>
      </c>
      <c r="G99" s="34"/>
      <c r="H99" s="78"/>
      <c r="I99" s="78"/>
      <c r="J99" s="56"/>
      <c r="K99" s="78"/>
      <c r="L99" s="62"/>
      <c r="M99" s="55">
        <f>M100</f>
        <v>3439.2</v>
      </c>
      <c r="N99" s="55">
        <f>N100</f>
        <v>3438.88553</v>
      </c>
      <c r="O99" s="261">
        <f t="shared" si="3"/>
        <v>99.99085630379159</v>
      </c>
    </row>
    <row r="100" spans="1:15" ht="14.25">
      <c r="A100" s="5" t="s">
        <v>209</v>
      </c>
      <c r="B100" s="3"/>
      <c r="C100" s="12" t="s">
        <v>140</v>
      </c>
      <c r="D100" s="11" t="s">
        <v>252</v>
      </c>
      <c r="E100" s="13" t="s">
        <v>410</v>
      </c>
      <c r="F100" s="13" t="s">
        <v>323</v>
      </c>
      <c r="G100" s="34">
        <v>3</v>
      </c>
      <c r="H100" s="78"/>
      <c r="I100" s="78"/>
      <c r="J100" s="56"/>
      <c r="K100" s="78"/>
      <c r="L100" s="62"/>
      <c r="M100" s="55">
        <f>'проект бюджета 2013'!N72</f>
        <v>3439.2</v>
      </c>
      <c r="N100" s="55">
        <f>'проект бюджета 2013'!O72</f>
        <v>3438.88553</v>
      </c>
      <c r="O100" s="261">
        <f t="shared" si="3"/>
        <v>99.99085630379159</v>
      </c>
    </row>
    <row r="101" spans="1:15" ht="14.25">
      <c r="A101" s="6" t="s">
        <v>15</v>
      </c>
      <c r="B101" s="6"/>
      <c r="C101" s="12" t="s">
        <v>142</v>
      </c>
      <c r="D101" s="12" t="s">
        <v>191</v>
      </c>
      <c r="E101" s="13" t="s">
        <v>156</v>
      </c>
      <c r="F101" s="13"/>
      <c r="G101" s="13"/>
      <c r="H101" s="62" t="e">
        <f>H104</f>
        <v>#REF!</v>
      </c>
      <c r="I101" s="62" t="e">
        <f>I104</f>
        <v>#REF!</v>
      </c>
      <c r="J101" s="56" t="e">
        <f>I101-H101</f>
        <v>#REF!</v>
      </c>
      <c r="K101" s="62" t="e">
        <f>K104</f>
        <v>#REF!</v>
      </c>
      <c r="L101" s="62" t="e">
        <f>L104</f>
        <v>#REF!</v>
      </c>
      <c r="M101" s="55">
        <f aca="true" t="shared" si="5" ref="M101:N103">M102</f>
        <v>0</v>
      </c>
      <c r="N101" s="55">
        <f t="shared" si="5"/>
        <v>0</v>
      </c>
      <c r="O101" s="261"/>
    </row>
    <row r="102" spans="1:15" ht="38.25">
      <c r="A102" s="105" t="s">
        <v>390</v>
      </c>
      <c r="B102" s="6"/>
      <c r="C102" s="11" t="s">
        <v>142</v>
      </c>
      <c r="D102" s="11" t="s">
        <v>191</v>
      </c>
      <c r="E102" s="37" t="s">
        <v>407</v>
      </c>
      <c r="F102" s="16"/>
      <c r="G102" s="34"/>
      <c r="H102" s="62"/>
      <c r="I102" s="62"/>
      <c r="J102" s="56"/>
      <c r="K102" s="62"/>
      <c r="L102" s="62"/>
      <c r="M102" s="55">
        <f t="shared" si="5"/>
        <v>0</v>
      </c>
      <c r="N102" s="55">
        <f t="shared" si="5"/>
        <v>0</v>
      </c>
      <c r="O102" s="261"/>
    </row>
    <row r="103" spans="1:15" ht="25.5">
      <c r="A103" s="6" t="s">
        <v>97</v>
      </c>
      <c r="B103" s="6"/>
      <c r="C103" s="11" t="s">
        <v>142</v>
      </c>
      <c r="D103" s="11" t="s">
        <v>191</v>
      </c>
      <c r="E103" s="13" t="s">
        <v>407</v>
      </c>
      <c r="F103" s="13" t="s">
        <v>323</v>
      </c>
      <c r="G103" s="34"/>
      <c r="H103" s="62"/>
      <c r="I103" s="62"/>
      <c r="J103" s="56"/>
      <c r="K103" s="62"/>
      <c r="L103" s="62"/>
      <c r="M103" s="55">
        <f t="shared" si="5"/>
        <v>0</v>
      </c>
      <c r="N103" s="55">
        <f t="shared" si="5"/>
        <v>0</v>
      </c>
      <c r="O103" s="261"/>
    </row>
    <row r="104" spans="1:15" ht="14.25">
      <c r="A104" s="5" t="s">
        <v>209</v>
      </c>
      <c r="B104" s="6"/>
      <c r="C104" s="11" t="s">
        <v>142</v>
      </c>
      <c r="D104" s="11" t="s">
        <v>191</v>
      </c>
      <c r="E104" s="13" t="s">
        <v>407</v>
      </c>
      <c r="F104" s="13" t="s">
        <v>323</v>
      </c>
      <c r="G104" s="34">
        <v>3</v>
      </c>
      <c r="H104" s="62" t="e">
        <f>#REF!</f>
        <v>#REF!</v>
      </c>
      <c r="I104" s="62" t="e">
        <f>#REF!</f>
        <v>#REF!</v>
      </c>
      <c r="J104" s="56" t="e">
        <f>I104-H104</f>
        <v>#REF!</v>
      </c>
      <c r="K104" s="62" t="e">
        <f>#REF!</f>
        <v>#REF!</v>
      </c>
      <c r="L104" s="62" t="e">
        <f>#REF!</f>
        <v>#REF!</v>
      </c>
      <c r="M104" s="55">
        <f>'проект бюджета 2013'!N83</f>
        <v>0</v>
      </c>
      <c r="N104" s="55">
        <f>'проект бюджета 2013'!O83</f>
        <v>0</v>
      </c>
      <c r="O104" s="261"/>
    </row>
    <row r="105" spans="1:15" ht="14.25">
      <c r="A105" s="4" t="s">
        <v>299</v>
      </c>
      <c r="B105" s="13" t="s">
        <v>164</v>
      </c>
      <c r="C105" s="11" t="s">
        <v>142</v>
      </c>
      <c r="D105" s="11" t="s">
        <v>298</v>
      </c>
      <c r="E105" s="13" t="s">
        <v>156</v>
      </c>
      <c r="F105" s="13"/>
      <c r="G105" s="34"/>
      <c r="H105" s="134"/>
      <c r="I105" s="134"/>
      <c r="J105" s="127"/>
      <c r="K105" s="134"/>
      <c r="L105" s="135"/>
      <c r="M105" s="55">
        <f aca="true" t="shared" si="6" ref="M105:N107">M106</f>
        <v>341.60799999999995</v>
      </c>
      <c r="N105" s="55">
        <f t="shared" si="6"/>
        <v>341.6071</v>
      </c>
      <c r="O105" s="261">
        <f t="shared" si="3"/>
        <v>99.99973654012788</v>
      </c>
    </row>
    <row r="106" spans="1:15" ht="63.75">
      <c r="A106" s="105" t="s">
        <v>399</v>
      </c>
      <c r="B106" s="13" t="s">
        <v>164</v>
      </c>
      <c r="C106" s="11" t="s">
        <v>142</v>
      </c>
      <c r="D106" s="11" t="s">
        <v>298</v>
      </c>
      <c r="E106" s="37" t="s">
        <v>411</v>
      </c>
      <c r="F106" s="13"/>
      <c r="G106" s="13"/>
      <c r="H106" s="62"/>
      <c r="I106" s="62"/>
      <c r="J106" s="56"/>
      <c r="K106" s="62"/>
      <c r="L106" s="62">
        <f>L107</f>
        <v>700</v>
      </c>
      <c r="M106" s="55">
        <f t="shared" si="6"/>
        <v>341.60799999999995</v>
      </c>
      <c r="N106" s="55">
        <f t="shared" si="6"/>
        <v>341.6071</v>
      </c>
      <c r="O106" s="261">
        <f t="shared" si="3"/>
        <v>99.99973654012788</v>
      </c>
    </row>
    <row r="107" spans="1:15" ht="25.5">
      <c r="A107" s="6" t="s">
        <v>97</v>
      </c>
      <c r="B107" s="13" t="s">
        <v>164</v>
      </c>
      <c r="C107" s="11" t="s">
        <v>142</v>
      </c>
      <c r="D107" s="11" t="s">
        <v>298</v>
      </c>
      <c r="E107" s="37" t="s">
        <v>411</v>
      </c>
      <c r="F107" s="13" t="s">
        <v>323</v>
      </c>
      <c r="G107" s="13"/>
      <c r="H107" s="62"/>
      <c r="I107" s="62"/>
      <c r="J107" s="56"/>
      <c r="K107" s="62"/>
      <c r="L107" s="62">
        <f>L108</f>
        <v>700</v>
      </c>
      <c r="M107" s="55">
        <f t="shared" si="6"/>
        <v>341.60799999999995</v>
      </c>
      <c r="N107" s="55">
        <f t="shared" si="6"/>
        <v>341.6071</v>
      </c>
      <c r="O107" s="261">
        <f t="shared" si="3"/>
        <v>99.99973654012788</v>
      </c>
    </row>
    <row r="108" spans="1:15" ht="14.25">
      <c r="A108" s="5" t="s">
        <v>209</v>
      </c>
      <c r="B108" s="13" t="s">
        <v>164</v>
      </c>
      <c r="C108" s="11" t="s">
        <v>142</v>
      </c>
      <c r="D108" s="11" t="s">
        <v>298</v>
      </c>
      <c r="E108" s="37" t="s">
        <v>411</v>
      </c>
      <c r="F108" s="13" t="s">
        <v>323</v>
      </c>
      <c r="G108" s="13" t="s">
        <v>212</v>
      </c>
      <c r="H108" s="62" t="e">
        <f>#REF!+#REF!</f>
        <v>#REF!</v>
      </c>
      <c r="I108" s="62" t="e">
        <f>#REF!+#REF!+#REF!</f>
        <v>#REF!</v>
      </c>
      <c r="J108" s="56" t="e">
        <f>I108-H108</f>
        <v>#REF!</v>
      </c>
      <c r="K108" s="62" t="e">
        <f>#REF!+#REF!+#REF!</f>
        <v>#REF!</v>
      </c>
      <c r="L108" s="62">
        <f>'проект бюджета 2013'!M107</f>
        <v>700</v>
      </c>
      <c r="M108" s="55">
        <f>'проект бюджета 2013'!N111</f>
        <v>341.60799999999995</v>
      </c>
      <c r="N108" s="55">
        <f>'проект бюджета 2013'!O111</f>
        <v>341.6071</v>
      </c>
      <c r="O108" s="261">
        <f t="shared" si="3"/>
        <v>99.99973654012788</v>
      </c>
    </row>
    <row r="109" spans="1:15" ht="28.5">
      <c r="A109" s="136" t="s">
        <v>304</v>
      </c>
      <c r="B109" s="5"/>
      <c r="C109" s="12" t="s">
        <v>144</v>
      </c>
      <c r="D109" s="37" t="s">
        <v>305</v>
      </c>
      <c r="E109" s="13" t="s">
        <v>156</v>
      </c>
      <c r="F109" s="13"/>
      <c r="G109" s="34"/>
      <c r="H109" s="78"/>
      <c r="I109" s="78"/>
      <c r="J109" s="56"/>
      <c r="K109" s="78"/>
      <c r="L109" s="62"/>
      <c r="M109" s="55">
        <f aca="true" t="shared" si="7" ref="M109:N111">M110</f>
        <v>441.438</v>
      </c>
      <c r="N109" s="55">
        <f t="shared" si="7"/>
        <v>441.438</v>
      </c>
      <c r="O109" s="261">
        <f t="shared" si="3"/>
        <v>100</v>
      </c>
    </row>
    <row r="110" spans="1:15" ht="38.25">
      <c r="A110" s="6" t="s">
        <v>306</v>
      </c>
      <c r="B110" s="6"/>
      <c r="C110" s="12" t="s">
        <v>144</v>
      </c>
      <c r="D110" s="37" t="s">
        <v>305</v>
      </c>
      <c r="E110" s="39">
        <v>7950011</v>
      </c>
      <c r="F110" s="13"/>
      <c r="G110" s="13"/>
      <c r="H110" s="62">
        <f>H111</f>
        <v>500</v>
      </c>
      <c r="I110" s="62">
        <f>I111</f>
        <v>50</v>
      </c>
      <c r="J110" s="56">
        <f>I110-H110</f>
        <v>-450</v>
      </c>
      <c r="K110" s="62">
        <f>K111</f>
        <v>50</v>
      </c>
      <c r="L110" s="62">
        <f>L111</f>
        <v>500</v>
      </c>
      <c r="M110" s="55">
        <f t="shared" si="7"/>
        <v>441.438</v>
      </c>
      <c r="N110" s="55">
        <f t="shared" si="7"/>
        <v>441.438</v>
      </c>
      <c r="O110" s="261">
        <f t="shared" si="3"/>
        <v>100</v>
      </c>
    </row>
    <row r="111" spans="1:15" ht="14.25">
      <c r="A111" s="6" t="s">
        <v>25</v>
      </c>
      <c r="B111" s="6"/>
      <c r="C111" s="12" t="s">
        <v>144</v>
      </c>
      <c r="D111" s="37" t="s">
        <v>305</v>
      </c>
      <c r="E111" s="39">
        <v>7950011</v>
      </c>
      <c r="F111" s="13" t="s">
        <v>323</v>
      </c>
      <c r="G111" s="13"/>
      <c r="H111" s="62">
        <f>H112</f>
        <v>500</v>
      </c>
      <c r="I111" s="62">
        <f>I112</f>
        <v>50</v>
      </c>
      <c r="J111" s="56">
        <f>I111-H111</f>
        <v>-450</v>
      </c>
      <c r="K111" s="62">
        <f>K112</f>
        <v>50</v>
      </c>
      <c r="L111" s="62">
        <f>L112</f>
        <v>500</v>
      </c>
      <c r="M111" s="55">
        <f t="shared" si="7"/>
        <v>441.438</v>
      </c>
      <c r="N111" s="55">
        <f t="shared" si="7"/>
        <v>441.438</v>
      </c>
      <c r="O111" s="261">
        <f t="shared" si="3"/>
        <v>100</v>
      </c>
    </row>
    <row r="112" spans="1:15" ht="14.25">
      <c r="A112" s="5" t="s">
        <v>209</v>
      </c>
      <c r="B112" s="3"/>
      <c r="C112" s="12" t="s">
        <v>144</v>
      </c>
      <c r="D112" s="37" t="s">
        <v>305</v>
      </c>
      <c r="E112" s="39">
        <v>7950011</v>
      </c>
      <c r="F112" s="13" t="s">
        <v>323</v>
      </c>
      <c r="G112" s="13" t="s">
        <v>212</v>
      </c>
      <c r="H112" s="78">
        <f>'проект бюджета 2013'!H147</f>
        <v>500</v>
      </c>
      <c r="I112" s="78">
        <f>'проект бюджета 2013'!I147</f>
        <v>50</v>
      </c>
      <c r="J112" s="56">
        <f>I112-H112</f>
        <v>-450</v>
      </c>
      <c r="K112" s="78">
        <f>'проект бюджета 2013'!K147</f>
        <v>50</v>
      </c>
      <c r="L112" s="78">
        <f>'проект бюджета 2013'!M147</f>
        <v>500</v>
      </c>
      <c r="M112" s="55">
        <f>'проект бюджета 2013'!N147</f>
        <v>441.438</v>
      </c>
      <c r="N112" s="55">
        <f>'проект бюджета 2013'!O147</f>
        <v>441.438</v>
      </c>
      <c r="O112" s="261">
        <f t="shared" si="3"/>
        <v>100</v>
      </c>
    </row>
    <row r="113" spans="1:15" ht="14.25">
      <c r="A113" s="4" t="s">
        <v>67</v>
      </c>
      <c r="B113" s="4"/>
      <c r="C113" s="11" t="s">
        <v>145</v>
      </c>
      <c r="D113" s="11" t="s">
        <v>173</v>
      </c>
      <c r="E113" s="13" t="s">
        <v>156</v>
      </c>
      <c r="F113" s="13"/>
      <c r="G113" s="34"/>
      <c r="H113" s="78"/>
      <c r="I113" s="78"/>
      <c r="J113" s="56"/>
      <c r="K113" s="78"/>
      <c r="L113" s="62"/>
      <c r="M113" s="141">
        <f>M114+M117</f>
        <v>1336.1</v>
      </c>
      <c r="N113" s="141">
        <f>N114+N117</f>
        <v>1335.5</v>
      </c>
      <c r="O113" s="261">
        <f t="shared" si="3"/>
        <v>99.9550931816481</v>
      </c>
    </row>
    <row r="114" spans="1:15" ht="25.5">
      <c r="A114" s="109" t="s">
        <v>400</v>
      </c>
      <c r="B114" s="6"/>
      <c r="C114" s="12" t="s">
        <v>145</v>
      </c>
      <c r="D114" s="12" t="s">
        <v>173</v>
      </c>
      <c r="E114" s="37" t="s">
        <v>412</v>
      </c>
      <c r="F114" s="11"/>
      <c r="G114" s="11"/>
      <c r="H114" s="55">
        <f>H115</f>
        <v>100</v>
      </c>
      <c r="I114" s="55">
        <f>I115</f>
        <v>100</v>
      </c>
      <c r="J114" s="56">
        <f>I114-H114</f>
        <v>0</v>
      </c>
      <c r="K114" s="55">
        <f>K115</f>
        <v>100</v>
      </c>
      <c r="L114" s="55">
        <f>L115</f>
        <v>100</v>
      </c>
      <c r="M114" s="55">
        <f>M115</f>
        <v>100</v>
      </c>
      <c r="N114" s="55">
        <f>N115</f>
        <v>100</v>
      </c>
      <c r="O114" s="261">
        <f t="shared" si="3"/>
        <v>100</v>
      </c>
    </row>
    <row r="115" spans="1:15" ht="25.5">
      <c r="A115" s="6" t="s">
        <v>97</v>
      </c>
      <c r="B115" s="6"/>
      <c r="C115" s="12" t="s">
        <v>145</v>
      </c>
      <c r="D115" s="12" t="s">
        <v>173</v>
      </c>
      <c r="E115" s="13" t="s">
        <v>412</v>
      </c>
      <c r="F115" s="115" t="s">
        <v>323</v>
      </c>
      <c r="G115" s="13"/>
      <c r="H115" s="55">
        <f>'проект бюджета 2013'!H159</f>
        <v>100</v>
      </c>
      <c r="I115" s="55">
        <f>'проект бюджета 2013'!I159</f>
        <v>100</v>
      </c>
      <c r="J115" s="56">
        <f>I115-H115</f>
        <v>0</v>
      </c>
      <c r="K115" s="55">
        <f>'проект бюджета 2013'!K159</f>
        <v>100</v>
      </c>
      <c r="L115" s="55">
        <f>'проект бюджета 2013'!M159</f>
        <v>100</v>
      </c>
      <c r="M115" s="55">
        <f>'проект бюджета 2013'!N159</f>
        <v>100</v>
      </c>
      <c r="N115" s="55">
        <f>'проект бюджета 2013'!O159</f>
        <v>100</v>
      </c>
      <c r="O115" s="261">
        <f t="shared" si="3"/>
        <v>100</v>
      </c>
    </row>
    <row r="116" spans="1:15" ht="14.25">
      <c r="A116" s="109" t="s">
        <v>209</v>
      </c>
      <c r="B116" s="3"/>
      <c r="C116" s="12" t="s">
        <v>145</v>
      </c>
      <c r="D116" s="12" t="s">
        <v>173</v>
      </c>
      <c r="E116" s="13" t="s">
        <v>412</v>
      </c>
      <c r="F116" s="115" t="s">
        <v>323</v>
      </c>
      <c r="G116" s="13" t="s">
        <v>212</v>
      </c>
      <c r="H116" s="72">
        <f>'проект бюджета 2013'!H160</f>
        <v>100</v>
      </c>
      <c r="I116" s="72">
        <f>'проект бюджета 2013'!I160</f>
        <v>100</v>
      </c>
      <c r="J116" s="56">
        <f>I116-H116</f>
        <v>0</v>
      </c>
      <c r="K116" s="72">
        <f>'проект бюджета 2013'!K160</f>
        <v>100</v>
      </c>
      <c r="L116" s="72">
        <f>'проект бюджета 2013'!M160</f>
        <v>100</v>
      </c>
      <c r="M116" s="55">
        <f>'проект бюджета 2013'!N160</f>
        <v>100</v>
      </c>
      <c r="N116" s="55">
        <f>'проект бюджета 2013'!O160</f>
        <v>100</v>
      </c>
      <c r="O116" s="261">
        <f t="shared" si="3"/>
        <v>100</v>
      </c>
    </row>
    <row r="117" spans="1:15" ht="25.5">
      <c r="A117" s="105" t="s">
        <v>401</v>
      </c>
      <c r="B117" s="5"/>
      <c r="C117" s="12" t="s">
        <v>145</v>
      </c>
      <c r="D117" s="12" t="s">
        <v>173</v>
      </c>
      <c r="E117" s="37" t="s">
        <v>414</v>
      </c>
      <c r="F117" s="12"/>
      <c r="G117" s="12"/>
      <c r="H117" s="55" t="e">
        <f>#REF!</f>
        <v>#REF!</v>
      </c>
      <c r="I117" s="55" t="e">
        <f>#REF!</f>
        <v>#REF!</v>
      </c>
      <c r="J117" s="56" t="e">
        <f>I117-H117</f>
        <v>#REF!</v>
      </c>
      <c r="K117" s="55" t="e">
        <f>#REF!</f>
        <v>#REF!</v>
      </c>
      <c r="L117" s="55" t="e">
        <f>#REF!+L118+L120</f>
        <v>#REF!</v>
      </c>
      <c r="M117" s="55">
        <f>M118+M120</f>
        <v>1236.1</v>
      </c>
      <c r="N117" s="55">
        <f>N118+N120</f>
        <v>1235.5</v>
      </c>
      <c r="O117" s="261">
        <f t="shared" si="3"/>
        <v>99.95146023784484</v>
      </c>
    </row>
    <row r="118" spans="1:15" ht="25.5">
      <c r="A118" s="6" t="s">
        <v>348</v>
      </c>
      <c r="B118" s="3"/>
      <c r="C118" s="12" t="s">
        <v>145</v>
      </c>
      <c r="D118" s="12" t="s">
        <v>173</v>
      </c>
      <c r="E118" s="13" t="s">
        <v>414</v>
      </c>
      <c r="F118" s="110" t="s">
        <v>347</v>
      </c>
      <c r="G118" s="13"/>
      <c r="H118" s="72"/>
      <c r="I118" s="72"/>
      <c r="J118" s="56"/>
      <c r="K118" s="72"/>
      <c r="L118" s="72">
        <f>L119</f>
        <v>1028.3</v>
      </c>
      <c r="M118" s="55">
        <f>M119</f>
        <v>135</v>
      </c>
      <c r="N118" s="55">
        <f>N119</f>
        <v>134.4</v>
      </c>
      <c r="O118" s="261">
        <f t="shared" si="3"/>
        <v>99.55555555555556</v>
      </c>
    </row>
    <row r="119" spans="1:15" ht="14.25">
      <c r="A119" s="109" t="s">
        <v>209</v>
      </c>
      <c r="B119" s="3"/>
      <c r="C119" s="12" t="s">
        <v>145</v>
      </c>
      <c r="D119" s="12" t="s">
        <v>173</v>
      </c>
      <c r="E119" s="37" t="s">
        <v>414</v>
      </c>
      <c r="F119" s="110" t="s">
        <v>347</v>
      </c>
      <c r="G119" s="13" t="s">
        <v>212</v>
      </c>
      <c r="H119" s="72"/>
      <c r="I119" s="72"/>
      <c r="J119" s="56"/>
      <c r="K119" s="72"/>
      <c r="L119" s="72">
        <f>'проект бюджета 2013'!M383</f>
        <v>1028.3</v>
      </c>
      <c r="M119" s="55">
        <f>'проект бюджета 2013'!N383</f>
        <v>135</v>
      </c>
      <c r="N119" s="55">
        <f>'проект бюджета 2013'!O383</f>
        <v>134.4</v>
      </c>
      <c r="O119" s="261">
        <f t="shared" si="3"/>
        <v>99.55555555555556</v>
      </c>
    </row>
    <row r="120" spans="1:15" ht="17.25" customHeight="1">
      <c r="A120" s="6" t="s">
        <v>318</v>
      </c>
      <c r="B120" s="3"/>
      <c r="C120" s="11" t="s">
        <v>145</v>
      </c>
      <c r="D120" s="11" t="s">
        <v>173</v>
      </c>
      <c r="E120" s="13" t="s">
        <v>414</v>
      </c>
      <c r="F120" s="11" t="s">
        <v>316</v>
      </c>
      <c r="G120" s="34"/>
      <c r="H120" s="72"/>
      <c r="I120" s="72"/>
      <c r="J120" s="56"/>
      <c r="K120" s="72"/>
      <c r="L120" s="72">
        <f>L121</f>
        <v>0</v>
      </c>
      <c r="M120" s="55">
        <f>M121</f>
        <v>1101.1</v>
      </c>
      <c r="N120" s="55">
        <f>N121</f>
        <v>1101.1</v>
      </c>
      <c r="O120" s="261">
        <f t="shared" si="3"/>
        <v>100</v>
      </c>
    </row>
    <row r="121" spans="1:15" ht="14.25">
      <c r="A121" s="6" t="s">
        <v>209</v>
      </c>
      <c r="B121" s="3"/>
      <c r="C121" s="11" t="s">
        <v>145</v>
      </c>
      <c r="D121" s="11" t="s">
        <v>173</v>
      </c>
      <c r="E121" s="13" t="s">
        <v>414</v>
      </c>
      <c r="F121" s="11" t="s">
        <v>316</v>
      </c>
      <c r="G121" s="34">
        <v>3</v>
      </c>
      <c r="H121" s="72"/>
      <c r="I121" s="72"/>
      <c r="J121" s="56"/>
      <c r="K121" s="72"/>
      <c r="L121" s="72">
        <f>'проект бюджета 2013'!M385</f>
        <v>0</v>
      </c>
      <c r="M121" s="55">
        <f>'проект бюджета 2013'!N385</f>
        <v>1101.1</v>
      </c>
      <c r="N121" s="55">
        <f>'проект бюджета 2013'!O385</f>
        <v>1101.1</v>
      </c>
      <c r="O121" s="261">
        <f t="shared" si="3"/>
        <v>100</v>
      </c>
    </row>
    <row r="122" spans="1:15" ht="14.25">
      <c r="A122" s="4" t="s">
        <v>14</v>
      </c>
      <c r="B122" s="4"/>
      <c r="C122" s="12" t="s">
        <v>145</v>
      </c>
      <c r="D122" s="11" t="s">
        <v>179</v>
      </c>
      <c r="E122" s="13" t="s">
        <v>156</v>
      </c>
      <c r="F122" s="13"/>
      <c r="G122" s="34"/>
      <c r="H122" s="78"/>
      <c r="I122" s="78"/>
      <c r="J122" s="56"/>
      <c r="K122" s="78"/>
      <c r="L122" s="62"/>
      <c r="M122" s="55">
        <f>M123+M126</f>
        <v>2958.961</v>
      </c>
      <c r="N122" s="55">
        <f>N123+N126</f>
        <v>3038.961</v>
      </c>
      <c r="O122" s="261">
        <f t="shared" si="3"/>
        <v>102.70365172099261</v>
      </c>
    </row>
    <row r="123" spans="1:15" ht="25.5">
      <c r="A123" s="105" t="s">
        <v>340</v>
      </c>
      <c r="B123" s="3"/>
      <c r="C123" s="11" t="s">
        <v>145</v>
      </c>
      <c r="D123" s="11" t="s">
        <v>179</v>
      </c>
      <c r="E123" s="39">
        <v>7950012</v>
      </c>
      <c r="F123" s="13"/>
      <c r="G123" s="34"/>
      <c r="H123" s="72"/>
      <c r="I123" s="72">
        <f>I124</f>
        <v>0</v>
      </c>
      <c r="J123" s="56"/>
      <c r="K123" s="72">
        <f aca="true" t="shared" si="8" ref="K123:N124">K124</f>
        <v>0</v>
      </c>
      <c r="L123" s="72">
        <f t="shared" si="8"/>
        <v>2500</v>
      </c>
      <c r="M123" s="55">
        <f t="shared" si="8"/>
        <v>520</v>
      </c>
      <c r="N123" s="55">
        <f t="shared" si="8"/>
        <v>520</v>
      </c>
      <c r="O123" s="261">
        <f t="shared" si="3"/>
        <v>100</v>
      </c>
    </row>
    <row r="124" spans="1:15" ht="15" customHeight="1">
      <c r="A124" s="6" t="s">
        <v>318</v>
      </c>
      <c r="B124" s="3"/>
      <c r="C124" s="11" t="s">
        <v>145</v>
      </c>
      <c r="D124" s="11" t="s">
        <v>179</v>
      </c>
      <c r="E124" s="39">
        <v>7950012</v>
      </c>
      <c r="F124" s="13" t="s">
        <v>316</v>
      </c>
      <c r="G124" s="34"/>
      <c r="H124" s="72"/>
      <c r="I124" s="72">
        <f>I125</f>
        <v>0</v>
      </c>
      <c r="J124" s="56"/>
      <c r="K124" s="72">
        <f t="shared" si="8"/>
        <v>0</v>
      </c>
      <c r="L124" s="72">
        <f t="shared" si="8"/>
        <v>2500</v>
      </c>
      <c r="M124" s="55">
        <f t="shared" si="8"/>
        <v>520</v>
      </c>
      <c r="N124" s="55">
        <f t="shared" si="8"/>
        <v>520</v>
      </c>
      <c r="O124" s="261">
        <f t="shared" si="3"/>
        <v>100</v>
      </c>
    </row>
    <row r="125" spans="1:15" ht="14.25">
      <c r="A125" s="6" t="s">
        <v>209</v>
      </c>
      <c r="B125" s="3"/>
      <c r="C125" s="11" t="s">
        <v>145</v>
      </c>
      <c r="D125" s="11" t="s">
        <v>179</v>
      </c>
      <c r="E125" s="39">
        <v>7950012</v>
      </c>
      <c r="F125" s="13" t="s">
        <v>316</v>
      </c>
      <c r="G125" s="34">
        <v>3</v>
      </c>
      <c r="H125" s="72"/>
      <c r="I125" s="72">
        <f>'проект бюджета 2013'!I424</f>
        <v>0</v>
      </c>
      <c r="J125" s="56"/>
      <c r="K125" s="72">
        <f>'проект бюджета 2013'!K424</f>
        <v>0</v>
      </c>
      <c r="L125" s="72">
        <f>'проект бюджета 2013'!M424</f>
        <v>2500</v>
      </c>
      <c r="M125" s="55">
        <f>'проект бюджета 2013'!N424</f>
        <v>520</v>
      </c>
      <c r="N125" s="55">
        <f>'проект бюджета 2013'!O424</f>
        <v>520</v>
      </c>
      <c r="O125" s="261">
        <f t="shared" si="3"/>
        <v>100</v>
      </c>
    </row>
    <row r="126" spans="1:15" ht="38.25">
      <c r="A126" s="105" t="s">
        <v>404</v>
      </c>
      <c r="B126" s="3"/>
      <c r="C126" s="11" t="s">
        <v>145</v>
      </c>
      <c r="D126" s="11" t="s">
        <v>179</v>
      </c>
      <c r="E126" s="37" t="s">
        <v>415</v>
      </c>
      <c r="F126" s="110"/>
      <c r="G126" s="34"/>
      <c r="H126" s="72"/>
      <c r="I126" s="72"/>
      <c r="J126" s="56"/>
      <c r="K126" s="72"/>
      <c r="L126" s="72"/>
      <c r="M126" s="55">
        <f>M127</f>
        <v>2438.961</v>
      </c>
      <c r="N126" s="55">
        <f>N127+N129</f>
        <v>2518.961</v>
      </c>
      <c r="O126" s="261">
        <f t="shared" si="3"/>
        <v>103.28008524941563</v>
      </c>
    </row>
    <row r="127" spans="1:15" ht="16.5" customHeight="1">
      <c r="A127" s="6" t="s">
        <v>318</v>
      </c>
      <c r="B127" s="3"/>
      <c r="C127" s="11" t="s">
        <v>145</v>
      </c>
      <c r="D127" s="11" t="s">
        <v>179</v>
      </c>
      <c r="E127" s="37" t="s">
        <v>415</v>
      </c>
      <c r="F127" s="13" t="s">
        <v>316</v>
      </c>
      <c r="G127" s="34"/>
      <c r="H127" s="72"/>
      <c r="I127" s="72"/>
      <c r="J127" s="56"/>
      <c r="K127" s="72"/>
      <c r="L127" s="72"/>
      <c r="M127" s="55">
        <f>M128</f>
        <v>2438.961</v>
      </c>
      <c r="N127" s="55">
        <f>N128</f>
        <v>2438.961</v>
      </c>
      <c r="O127" s="261">
        <f t="shared" si="3"/>
        <v>100</v>
      </c>
    </row>
    <row r="128" spans="1:15" ht="14.25">
      <c r="A128" s="6" t="s">
        <v>209</v>
      </c>
      <c r="B128" s="3"/>
      <c r="C128" s="11" t="s">
        <v>145</v>
      </c>
      <c r="D128" s="11" t="s">
        <v>179</v>
      </c>
      <c r="E128" s="37" t="s">
        <v>415</v>
      </c>
      <c r="F128" s="13" t="s">
        <v>316</v>
      </c>
      <c r="G128" s="34">
        <v>3</v>
      </c>
      <c r="H128" s="72"/>
      <c r="I128" s="72"/>
      <c r="J128" s="56"/>
      <c r="K128" s="72"/>
      <c r="L128" s="72"/>
      <c r="M128" s="55">
        <f>'проект бюджета 2013'!N430</f>
        <v>2438.961</v>
      </c>
      <c r="N128" s="55">
        <f>'проект бюджета 2013'!O430</f>
        <v>2438.961</v>
      </c>
      <c r="O128" s="261">
        <f t="shared" si="3"/>
        <v>100</v>
      </c>
    </row>
    <row r="129" spans="1:15" ht="25.5">
      <c r="A129" s="6" t="s">
        <v>97</v>
      </c>
      <c r="B129" s="3"/>
      <c r="C129" s="201" t="s">
        <v>145</v>
      </c>
      <c r="D129" s="201" t="s">
        <v>179</v>
      </c>
      <c r="E129" s="202" t="s">
        <v>415</v>
      </c>
      <c r="F129" s="101" t="s">
        <v>323</v>
      </c>
      <c r="G129" s="187"/>
      <c r="H129" s="72"/>
      <c r="I129" s="72"/>
      <c r="J129" s="56"/>
      <c r="K129" s="72"/>
      <c r="L129" s="72"/>
      <c r="M129" s="55">
        <f>M130</f>
        <v>80</v>
      </c>
      <c r="N129" s="55">
        <f>N130</f>
        <v>80</v>
      </c>
      <c r="O129" s="261">
        <f t="shared" si="3"/>
        <v>100</v>
      </c>
    </row>
    <row r="130" spans="1:15" ht="14.25">
      <c r="A130" s="169" t="s">
        <v>209</v>
      </c>
      <c r="B130" s="3"/>
      <c r="C130" s="201" t="s">
        <v>145</v>
      </c>
      <c r="D130" s="201" t="s">
        <v>179</v>
      </c>
      <c r="E130" s="202" t="s">
        <v>415</v>
      </c>
      <c r="F130" s="101" t="s">
        <v>323</v>
      </c>
      <c r="G130" s="187">
        <v>3</v>
      </c>
      <c r="H130" s="72"/>
      <c r="I130" s="72"/>
      <c r="J130" s="56"/>
      <c r="K130" s="72"/>
      <c r="L130" s="72"/>
      <c r="M130" s="55">
        <f>'проект бюджета 2013'!N169</f>
        <v>80</v>
      </c>
      <c r="N130" s="55">
        <f>'проект бюджета 2013'!O169</f>
        <v>80</v>
      </c>
      <c r="O130" s="261">
        <f t="shared" si="3"/>
        <v>100</v>
      </c>
    </row>
    <row r="131" spans="1:15" ht="14.25">
      <c r="A131" s="4" t="s">
        <v>278</v>
      </c>
      <c r="B131" s="3"/>
      <c r="C131" s="10" t="s">
        <v>147</v>
      </c>
      <c r="D131" s="12" t="s">
        <v>268</v>
      </c>
      <c r="E131" s="13" t="s">
        <v>156</v>
      </c>
      <c r="F131" s="13"/>
      <c r="G131" s="34"/>
      <c r="H131" s="72"/>
      <c r="I131" s="72"/>
      <c r="J131" s="56"/>
      <c r="K131" s="72"/>
      <c r="L131" s="72"/>
      <c r="M131" s="55">
        <f aca="true" t="shared" si="9" ref="M131:N133">M132</f>
        <v>500</v>
      </c>
      <c r="N131" s="55">
        <f t="shared" si="9"/>
        <v>500</v>
      </c>
      <c r="O131" s="261">
        <f t="shared" si="3"/>
        <v>100</v>
      </c>
    </row>
    <row r="132" spans="1:15" ht="25.5">
      <c r="A132" s="140" t="s">
        <v>267</v>
      </c>
      <c r="B132" s="3"/>
      <c r="C132" s="12" t="s">
        <v>147</v>
      </c>
      <c r="D132" s="12" t="s">
        <v>268</v>
      </c>
      <c r="E132" s="39">
        <v>7950010</v>
      </c>
      <c r="F132" s="33"/>
      <c r="G132" s="34"/>
      <c r="H132" s="72"/>
      <c r="I132" s="72"/>
      <c r="J132" s="56"/>
      <c r="K132" s="72"/>
      <c r="L132" s="72"/>
      <c r="M132" s="55">
        <f t="shared" si="9"/>
        <v>500</v>
      </c>
      <c r="N132" s="55">
        <f t="shared" si="9"/>
        <v>500</v>
      </c>
      <c r="O132" s="261">
        <f t="shared" si="3"/>
        <v>100</v>
      </c>
    </row>
    <row r="133" spans="1:15" ht="25.5">
      <c r="A133" s="6" t="s">
        <v>97</v>
      </c>
      <c r="B133" s="3"/>
      <c r="C133" s="12" t="s">
        <v>147</v>
      </c>
      <c r="D133" s="12" t="s">
        <v>268</v>
      </c>
      <c r="E133" s="39">
        <v>7950010</v>
      </c>
      <c r="F133" s="13" t="s">
        <v>323</v>
      </c>
      <c r="G133" s="34"/>
      <c r="H133" s="72"/>
      <c r="I133" s="72"/>
      <c r="J133" s="56"/>
      <c r="K133" s="72"/>
      <c r="L133" s="72"/>
      <c r="M133" s="55">
        <f t="shared" si="9"/>
        <v>500</v>
      </c>
      <c r="N133" s="55">
        <f t="shared" si="9"/>
        <v>500</v>
      </c>
      <c r="O133" s="261">
        <f t="shared" si="3"/>
        <v>100</v>
      </c>
    </row>
    <row r="134" spans="1:15" ht="14.25">
      <c r="A134" s="6" t="s">
        <v>209</v>
      </c>
      <c r="B134" s="3"/>
      <c r="C134" s="12" t="s">
        <v>147</v>
      </c>
      <c r="D134" s="12" t="s">
        <v>268</v>
      </c>
      <c r="E134" s="39">
        <v>7950010</v>
      </c>
      <c r="F134" s="13" t="s">
        <v>323</v>
      </c>
      <c r="G134" s="34">
        <v>3</v>
      </c>
      <c r="H134" s="72"/>
      <c r="I134" s="72"/>
      <c r="J134" s="56"/>
      <c r="K134" s="72"/>
      <c r="L134" s="72"/>
      <c r="M134" s="55">
        <f>'15 (3)'!M347</f>
        <v>500</v>
      </c>
      <c r="N134" s="55">
        <f>'15 (3)'!N347</f>
        <v>500</v>
      </c>
      <c r="O134" s="261">
        <f t="shared" si="3"/>
        <v>100</v>
      </c>
    </row>
    <row r="135" spans="1:15" ht="14.25">
      <c r="A135" s="4" t="s">
        <v>16</v>
      </c>
      <c r="B135" s="4"/>
      <c r="C135" s="11" t="s">
        <v>148</v>
      </c>
      <c r="D135" s="11" t="s">
        <v>174</v>
      </c>
      <c r="E135" s="13" t="s">
        <v>156</v>
      </c>
      <c r="F135" s="13"/>
      <c r="G135" s="34"/>
      <c r="H135" s="78"/>
      <c r="I135" s="78"/>
      <c r="J135" s="56"/>
      <c r="K135" s="78"/>
      <c r="L135" s="62"/>
      <c r="M135" s="55">
        <f aca="true" t="shared" si="10" ref="M135:N137">M136</f>
        <v>350</v>
      </c>
      <c r="N135" s="55">
        <f t="shared" si="10"/>
        <v>350</v>
      </c>
      <c r="O135" s="261">
        <f t="shared" si="3"/>
        <v>100</v>
      </c>
    </row>
    <row r="136" spans="1:15" ht="25.5">
      <c r="A136" s="123" t="s">
        <v>398</v>
      </c>
      <c r="B136" s="3"/>
      <c r="C136" s="11" t="s">
        <v>148</v>
      </c>
      <c r="D136" s="11" t="s">
        <v>174</v>
      </c>
      <c r="E136" s="13" t="s">
        <v>413</v>
      </c>
      <c r="F136" s="13"/>
      <c r="G136" s="34"/>
      <c r="H136" s="72"/>
      <c r="I136" s="72"/>
      <c r="J136" s="56"/>
      <c r="K136" s="72"/>
      <c r="L136" s="72"/>
      <c r="M136" s="55">
        <f t="shared" si="10"/>
        <v>350</v>
      </c>
      <c r="N136" s="55">
        <f t="shared" si="10"/>
        <v>350</v>
      </c>
      <c r="O136" s="261">
        <f t="shared" si="3"/>
        <v>100</v>
      </c>
    </row>
    <row r="137" spans="1:15" ht="14.25">
      <c r="A137" s="6" t="s">
        <v>332</v>
      </c>
      <c r="B137" s="3"/>
      <c r="C137" s="11" t="s">
        <v>148</v>
      </c>
      <c r="D137" s="11" t="s">
        <v>174</v>
      </c>
      <c r="E137" s="13" t="s">
        <v>413</v>
      </c>
      <c r="F137" s="13" t="s">
        <v>331</v>
      </c>
      <c r="G137" s="34"/>
      <c r="H137" s="72"/>
      <c r="I137" s="72"/>
      <c r="J137" s="56"/>
      <c r="K137" s="72"/>
      <c r="L137" s="72"/>
      <c r="M137" s="55">
        <f t="shared" si="10"/>
        <v>350</v>
      </c>
      <c r="N137" s="55">
        <f t="shared" si="10"/>
        <v>350</v>
      </c>
      <c r="O137" s="261">
        <f t="shared" si="3"/>
        <v>100</v>
      </c>
    </row>
    <row r="138" spans="1:15" ht="14.25">
      <c r="A138" s="6" t="s">
        <v>209</v>
      </c>
      <c r="B138" s="3"/>
      <c r="C138" s="11" t="s">
        <v>148</v>
      </c>
      <c r="D138" s="11" t="s">
        <v>174</v>
      </c>
      <c r="E138" s="13" t="s">
        <v>413</v>
      </c>
      <c r="F138" s="13" t="s">
        <v>331</v>
      </c>
      <c r="G138" s="34">
        <v>3</v>
      </c>
      <c r="H138" s="72"/>
      <c r="I138" s="72"/>
      <c r="J138" s="56"/>
      <c r="K138" s="72"/>
      <c r="L138" s="72"/>
      <c r="M138" s="55">
        <f>'проект бюджета 2013'!N220</f>
        <v>350</v>
      </c>
      <c r="N138" s="55">
        <f>'проект бюджета 2013'!O220</f>
        <v>350</v>
      </c>
      <c r="O138" s="261">
        <f t="shared" si="3"/>
        <v>100</v>
      </c>
    </row>
    <row r="139" spans="1:15" ht="42.75">
      <c r="A139" s="137" t="s">
        <v>162</v>
      </c>
      <c r="B139" s="6"/>
      <c r="C139" s="11"/>
      <c r="D139" s="11"/>
      <c r="E139" s="130" t="s">
        <v>241</v>
      </c>
      <c r="F139" s="130"/>
      <c r="G139" s="28"/>
      <c r="H139" s="131"/>
      <c r="I139" s="131"/>
      <c r="J139" s="56"/>
      <c r="K139" s="131">
        <f>'проект бюджета 2013'!K58</f>
        <v>1348.9</v>
      </c>
      <c r="L139" s="131">
        <f>'проект бюджета 2013'!M58</f>
        <v>500</v>
      </c>
      <c r="M139" s="57">
        <f>M141+M144+M147</f>
        <v>500</v>
      </c>
      <c r="N139" s="57">
        <f>N141+N144+N147</f>
        <v>500</v>
      </c>
      <c r="O139" s="261">
        <f t="shared" si="3"/>
        <v>100</v>
      </c>
    </row>
    <row r="140" spans="1:15" ht="14.25">
      <c r="A140" s="4" t="s">
        <v>39</v>
      </c>
      <c r="B140" s="4"/>
      <c r="C140" s="11" t="s">
        <v>140</v>
      </c>
      <c r="D140" s="11" t="s">
        <v>252</v>
      </c>
      <c r="E140" s="13" t="s">
        <v>241</v>
      </c>
      <c r="F140" s="13"/>
      <c r="G140" s="34"/>
      <c r="H140" s="78"/>
      <c r="I140" s="78"/>
      <c r="J140" s="56"/>
      <c r="K140" s="78"/>
      <c r="L140" s="78"/>
      <c r="M140" s="55">
        <f aca="true" t="shared" si="11" ref="M140:N142">M141</f>
        <v>0</v>
      </c>
      <c r="N140" s="55">
        <f t="shared" si="11"/>
        <v>0</v>
      </c>
      <c r="O140" s="261"/>
    </row>
    <row r="141" spans="1:15" ht="14.25">
      <c r="A141" s="6" t="s">
        <v>397</v>
      </c>
      <c r="B141" s="6"/>
      <c r="C141" s="11" t="s">
        <v>140</v>
      </c>
      <c r="D141" s="11" t="s">
        <v>252</v>
      </c>
      <c r="E141" s="13" t="s">
        <v>241</v>
      </c>
      <c r="F141" s="13" t="s">
        <v>250</v>
      </c>
      <c r="G141" s="34"/>
      <c r="H141" s="78"/>
      <c r="I141" s="78"/>
      <c r="J141" s="56"/>
      <c r="K141" s="78"/>
      <c r="L141" s="78"/>
      <c r="M141" s="55">
        <f t="shared" si="11"/>
        <v>0</v>
      </c>
      <c r="N141" s="55">
        <f t="shared" si="11"/>
        <v>0</v>
      </c>
      <c r="O141" s="261"/>
    </row>
    <row r="142" spans="1:15" ht="14.25">
      <c r="A142" s="6" t="s">
        <v>309</v>
      </c>
      <c r="B142" s="6"/>
      <c r="C142" s="11" t="s">
        <v>140</v>
      </c>
      <c r="D142" s="11" t="s">
        <v>252</v>
      </c>
      <c r="E142" s="13" t="s">
        <v>241</v>
      </c>
      <c r="F142" s="13" t="s">
        <v>308</v>
      </c>
      <c r="G142" s="34"/>
      <c r="H142" s="78"/>
      <c r="I142" s="78"/>
      <c r="J142" s="56"/>
      <c r="K142" s="78">
        <f>'проект бюджета 2013'!K59</f>
        <v>1348.9</v>
      </c>
      <c r="L142" s="78">
        <f>'проект бюджета 2013'!M59</f>
        <v>500</v>
      </c>
      <c r="M142" s="55">
        <f t="shared" si="11"/>
        <v>0</v>
      </c>
      <c r="N142" s="55">
        <f t="shared" si="11"/>
        <v>0</v>
      </c>
      <c r="O142" s="261"/>
    </row>
    <row r="143" spans="1:15" ht="14.25">
      <c r="A143" s="6" t="s">
        <v>209</v>
      </c>
      <c r="B143" s="6"/>
      <c r="C143" s="11" t="s">
        <v>140</v>
      </c>
      <c r="D143" s="11" t="s">
        <v>252</v>
      </c>
      <c r="E143" s="13" t="s">
        <v>241</v>
      </c>
      <c r="F143" s="13" t="s">
        <v>308</v>
      </c>
      <c r="G143" s="34">
        <v>3</v>
      </c>
      <c r="H143" s="78"/>
      <c r="I143" s="78"/>
      <c r="J143" s="56"/>
      <c r="K143" s="78">
        <f>'проект бюджета 2013'!K61</f>
        <v>0</v>
      </c>
      <c r="L143" s="78">
        <f>'проект бюджета 2013'!M61</f>
        <v>50</v>
      </c>
      <c r="M143" s="55">
        <f>'проект бюджета 2013'!N22</f>
        <v>0</v>
      </c>
      <c r="N143" s="55">
        <f>'проект бюджета 2013'!O22</f>
        <v>0</v>
      </c>
      <c r="O143" s="261"/>
    </row>
    <row r="144" spans="1:15" ht="14.25">
      <c r="A144" s="142" t="s">
        <v>3</v>
      </c>
      <c r="B144" s="6"/>
      <c r="C144" s="11" t="s">
        <v>145</v>
      </c>
      <c r="D144" s="11" t="s">
        <v>178</v>
      </c>
      <c r="E144" s="12" t="s">
        <v>241</v>
      </c>
      <c r="F144" s="13"/>
      <c r="G144" s="34"/>
      <c r="H144" s="78"/>
      <c r="I144" s="78"/>
      <c r="J144" s="56"/>
      <c r="K144" s="78"/>
      <c r="L144" s="78"/>
      <c r="M144" s="55">
        <f>M145</f>
        <v>141.11</v>
      </c>
      <c r="N144" s="55">
        <f>N145</f>
        <v>141.11</v>
      </c>
      <c r="O144" s="261">
        <f aca="true" t="shared" si="12" ref="O143:O150">N144/M144*100</f>
        <v>100</v>
      </c>
    </row>
    <row r="145" spans="1:15" ht="14.25">
      <c r="A145" s="6" t="s">
        <v>318</v>
      </c>
      <c r="B145" s="6"/>
      <c r="C145" s="11" t="s">
        <v>145</v>
      </c>
      <c r="D145" s="11" t="s">
        <v>178</v>
      </c>
      <c r="E145" s="12" t="s">
        <v>241</v>
      </c>
      <c r="F145" s="13" t="s">
        <v>316</v>
      </c>
      <c r="G145" s="34"/>
      <c r="H145" s="78"/>
      <c r="I145" s="78"/>
      <c r="J145" s="56"/>
      <c r="K145" s="78"/>
      <c r="L145" s="78"/>
      <c r="M145" s="55">
        <f>M146</f>
        <v>141.11</v>
      </c>
      <c r="N145" s="55">
        <f>N146</f>
        <v>141.11</v>
      </c>
      <c r="O145" s="261">
        <f t="shared" si="12"/>
        <v>100</v>
      </c>
    </row>
    <row r="146" spans="1:15" ht="14.25">
      <c r="A146" s="6" t="s">
        <v>209</v>
      </c>
      <c r="B146" s="6"/>
      <c r="C146" s="11" t="s">
        <v>145</v>
      </c>
      <c r="D146" s="11" t="s">
        <v>178</v>
      </c>
      <c r="E146" s="12" t="s">
        <v>241</v>
      </c>
      <c r="F146" s="13" t="s">
        <v>316</v>
      </c>
      <c r="G146" s="34">
        <v>3</v>
      </c>
      <c r="H146" s="78"/>
      <c r="I146" s="78"/>
      <c r="J146" s="56"/>
      <c r="K146" s="78"/>
      <c r="L146" s="78"/>
      <c r="M146" s="55">
        <f>'15 (3)'!M231</f>
        <v>141.11</v>
      </c>
      <c r="N146" s="55">
        <f>'15 (3)'!N231</f>
        <v>141.11</v>
      </c>
      <c r="O146" s="261">
        <f t="shared" si="12"/>
        <v>100</v>
      </c>
    </row>
    <row r="147" spans="1:15" ht="28.5">
      <c r="A147" s="142" t="s">
        <v>276</v>
      </c>
      <c r="B147" s="12" t="s">
        <v>165</v>
      </c>
      <c r="C147" s="11" t="s">
        <v>258</v>
      </c>
      <c r="D147" s="11" t="s">
        <v>274</v>
      </c>
      <c r="E147" s="12" t="s">
        <v>241</v>
      </c>
      <c r="F147" s="12"/>
      <c r="G147" s="34"/>
      <c r="H147" s="78"/>
      <c r="I147" s="78"/>
      <c r="J147" s="56"/>
      <c r="K147" s="78"/>
      <c r="L147" s="78"/>
      <c r="M147" s="55">
        <f>M148</f>
        <v>358.89</v>
      </c>
      <c r="N147" s="55">
        <f>N148</f>
        <v>358.89</v>
      </c>
      <c r="O147" s="261">
        <f t="shared" si="12"/>
        <v>100</v>
      </c>
    </row>
    <row r="148" spans="1:15" ht="14.25">
      <c r="A148" s="105" t="s">
        <v>195</v>
      </c>
      <c r="B148" s="12" t="s">
        <v>165</v>
      </c>
      <c r="C148" s="11" t="s">
        <v>258</v>
      </c>
      <c r="D148" s="11" t="s">
        <v>274</v>
      </c>
      <c r="E148" s="12" t="s">
        <v>241</v>
      </c>
      <c r="F148" s="37" t="s">
        <v>376</v>
      </c>
      <c r="G148" s="34"/>
      <c r="H148" s="78"/>
      <c r="I148" s="78"/>
      <c r="J148" s="56"/>
      <c r="K148" s="78"/>
      <c r="L148" s="78"/>
      <c r="M148" s="55">
        <f>M149</f>
        <v>358.89</v>
      </c>
      <c r="N148" s="55">
        <f>N149</f>
        <v>358.89</v>
      </c>
      <c r="O148" s="261">
        <f t="shared" si="12"/>
        <v>100</v>
      </c>
    </row>
    <row r="149" spans="1:15" ht="14.25">
      <c r="A149" s="116" t="s">
        <v>209</v>
      </c>
      <c r="B149" s="12" t="s">
        <v>165</v>
      </c>
      <c r="C149" s="11" t="s">
        <v>258</v>
      </c>
      <c r="D149" s="11" t="s">
        <v>274</v>
      </c>
      <c r="E149" s="12" t="s">
        <v>241</v>
      </c>
      <c r="F149" s="37" t="s">
        <v>376</v>
      </c>
      <c r="G149" s="34">
        <v>3</v>
      </c>
      <c r="H149" s="78"/>
      <c r="I149" s="78"/>
      <c r="J149" s="56"/>
      <c r="K149" s="78"/>
      <c r="L149" s="78"/>
      <c r="M149" s="55">
        <f>'15 (3)'!M472</f>
        <v>358.89</v>
      </c>
      <c r="N149" s="55">
        <f>'15 (3)'!N472</f>
        <v>358.89</v>
      </c>
      <c r="O149" s="261">
        <f t="shared" si="12"/>
        <v>100</v>
      </c>
    </row>
    <row r="150" spans="1:15" s="24" customFormat="1" ht="17.25" customHeight="1">
      <c r="A150" s="28" t="s">
        <v>149</v>
      </c>
      <c r="B150" s="28"/>
      <c r="C150" s="29"/>
      <c r="D150" s="29"/>
      <c r="E150" s="29"/>
      <c r="F150" s="29"/>
      <c r="G150" s="29"/>
      <c r="H150" s="57" t="e">
        <f>#REF!+#REF!+#REF!+#REF!+#REF!+#REF!+#REF!+H109+#REF!+#REF!</f>
        <v>#REF!</v>
      </c>
      <c r="I150" s="57" t="e">
        <f>#REF!+#REF!+#REF!+#REF!+#REF!+#REF!+#REF!+I109+#REF!+#REF!+I104+#REF!</f>
        <v>#REF!</v>
      </c>
      <c r="J150" s="56" t="e">
        <f>I150-H150</f>
        <v>#REF!</v>
      </c>
      <c r="K150" s="57" t="e">
        <f>#REF!+#REF!+#REF!+#REF!+#REF!+#REF!+#REF!+K109+#REF!+#REF!+K104+#REF!</f>
        <v>#REF!</v>
      </c>
      <c r="L150" s="57" t="e">
        <f>#REF!+#REF!+#REF!+#REF!+#REF!+#REF!+#REF!+L109+#REF!+#REF!+L104+#REF!</f>
        <v>#REF!</v>
      </c>
      <c r="M150" s="56">
        <f>M14+M51+M87+M139</f>
        <v>33516.281</v>
      </c>
      <c r="N150" s="56">
        <f>N14+N51+N87+N139</f>
        <v>36000.67527</v>
      </c>
      <c r="O150" s="261">
        <f t="shared" si="12"/>
        <v>107.41249982359318</v>
      </c>
    </row>
    <row r="151" spans="3:15" s="24" customFormat="1" ht="25.5" customHeight="1">
      <c r="C151" s="125"/>
      <c r="D151" s="125"/>
      <c r="E151" s="125"/>
      <c r="F151" s="125"/>
      <c r="G151" s="125"/>
      <c r="H151" s="126"/>
      <c r="I151" s="126"/>
      <c r="J151" s="127"/>
      <c r="K151" s="126"/>
      <c r="L151" s="126"/>
      <c r="M151" s="126"/>
      <c r="N151" s="126"/>
      <c r="O151" s="126"/>
    </row>
    <row r="152" spans="7:15" ht="12.75">
      <c r="G152" s="22" t="s">
        <v>349</v>
      </c>
      <c r="L152" s="53" t="e">
        <f>#REF!+#REF!+#REF!+#REF!+#REF!+#REF!+#REF!+#REF!+#REF!</f>
        <v>#REF!</v>
      </c>
      <c r="M152" s="53">
        <f>M18+M29+M41+M48+M79+M23+M34</f>
        <v>4761.843</v>
      </c>
      <c r="N152" s="53">
        <f>N18+N29+N41+N48+N79+N23+N34</f>
        <v>4761.843</v>
      </c>
      <c r="O152" s="53">
        <f aca="true" t="shared" si="13" ref="O152:O157">N152-M152</f>
        <v>0</v>
      </c>
    </row>
    <row r="153" spans="7:15" ht="12.75">
      <c r="G153" s="22" t="s">
        <v>350</v>
      </c>
      <c r="L153" s="53" t="e">
        <f>#REF!+#REF!+#REF!+#REF!+#REF!+#REF!+#REF!+#REF!+#REF!+#REF!+#REF!+#REF!+#REF!+#REF!+#REF!+#REF!+#REF!+#REF!+#REF!+#REF!+#REF!+#REF!+#REF!</f>
        <v>#REF!</v>
      </c>
      <c r="M153" s="53">
        <f>M19+M30+M42+M49+M59+M62+M65+M68+M80+M85+M24+M35+M55</f>
        <v>14941.686</v>
      </c>
      <c r="N153" s="53">
        <f>N19+N30+N42+N49+N59+N62+N65+N68+N80+N85+N24+N35+N55</f>
        <v>14941.686</v>
      </c>
      <c r="O153" s="53">
        <f t="shared" si="13"/>
        <v>0</v>
      </c>
    </row>
    <row r="154" spans="7:15" ht="12.75">
      <c r="G154" s="22" t="s">
        <v>351</v>
      </c>
      <c r="L154" s="53" t="e">
        <f>#REF!+#REF!+#REF!+#REF!+#REF!+#REF!+#REF!+#REF!+#REF!+L108+#REF!+#REF!+#REF!+L112+#REF!+#REF!+#REF!+#REF!+#REF!+#REF!+L116+#REF!+L119+#REF!+#REF!+#REF!+#REF!+L125+#REF!+#REF!+#REF!+#REF!+#REF!+#REF!+#REF!+#REF!+#REF!+#REF!+L50+#REF!+#REF!+#REF!+#REF!+#REF!+#REF!+#REF!+#REF!+#REF!+#REF!</f>
        <v>#REF!</v>
      </c>
      <c r="M154" s="53">
        <f>M20+M31+M43+M50+M81+M86+M91+M94+M97+M100+M104+M108+M112+M116+M119+M121+M125+M128+M134+M138+M143+M146+M149+M76++M130+M25+M36</f>
        <v>13437.904999999999</v>
      </c>
      <c r="N154" s="53">
        <f>N20+N31+N43+N50+N81+N86+N91+N94+N97+N100+N104+N108+N112+N116+N119+N121+N125+N128+N134+N138+N143+N146+N149+N76++N130+N25+N36</f>
        <v>13422.899269999998</v>
      </c>
      <c r="O154" s="53">
        <f t="shared" si="13"/>
        <v>-15.005730000000767</v>
      </c>
    </row>
    <row r="155" spans="7:15" ht="12.75">
      <c r="G155" s="22" t="s">
        <v>422</v>
      </c>
      <c r="L155" s="53"/>
      <c r="M155" s="53">
        <f>M44+M26</f>
        <v>2174.2470000000003</v>
      </c>
      <c r="N155" s="53">
        <f>N44+N26</f>
        <v>2874.2470000000003</v>
      </c>
      <c r="O155" s="53">
        <f t="shared" si="13"/>
        <v>700</v>
      </c>
    </row>
    <row r="156" spans="7:15" ht="12.75">
      <c r="G156" s="22" t="s">
        <v>352</v>
      </c>
      <c r="L156" s="53" t="e">
        <f>L152+L153+L154</f>
        <v>#REF!</v>
      </c>
      <c r="M156" s="53">
        <f>M152+M153+M154+M155</f>
        <v>35315.681</v>
      </c>
      <c r="N156" s="53">
        <f>N152+N153+N154+N155</f>
        <v>36000.67527</v>
      </c>
      <c r="O156" s="53">
        <f t="shared" si="13"/>
        <v>684.9942700000029</v>
      </c>
    </row>
    <row r="157" spans="12:15" ht="12.75">
      <c r="L157" s="53" t="e">
        <f>#REF!-L156</f>
        <v>#REF!</v>
      </c>
      <c r="M157" s="53">
        <f>M150-M156</f>
        <v>-1799.3999999999942</v>
      </c>
      <c r="N157" s="204">
        <f>N150-N156</f>
        <v>0</v>
      </c>
      <c r="O157" s="53">
        <f t="shared" si="13"/>
        <v>1799.3999999999942</v>
      </c>
    </row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</sheetData>
  <sheetProtection/>
  <mergeCells count="18">
    <mergeCell ref="N12:N13"/>
    <mergeCell ref="O12:O13"/>
    <mergeCell ref="H12:H13"/>
    <mergeCell ref="I12:I13"/>
    <mergeCell ref="J12:J13"/>
    <mergeCell ref="K12:K13"/>
    <mergeCell ref="L12:L13"/>
    <mergeCell ref="M12:M13"/>
    <mergeCell ref="F12:F13"/>
    <mergeCell ref="G12:G13"/>
    <mergeCell ref="C1:O1"/>
    <mergeCell ref="C2:O3"/>
    <mergeCell ref="G6:L8"/>
    <mergeCell ref="A9:O9"/>
    <mergeCell ref="A12:A13"/>
    <mergeCell ref="C12:C13"/>
    <mergeCell ref="D12:D13"/>
    <mergeCell ref="E12:E13"/>
  </mergeCells>
  <printOptions horizontalCentered="1"/>
  <pageMargins left="0.4330708661417323" right="0.15748031496062992" top="0.2755905511811024" bottom="0.1968503937007874" header="0.15748031496062992" footer="0.5118110236220472"/>
  <pageSetup blackAndWhite="1" fitToHeight="100" horizontalDpi="600" verticalDpi="600" orientation="portrait" paperSize="9" scale="85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админ</cp:lastModifiedBy>
  <cp:lastPrinted>2013-12-19T13:26:37Z</cp:lastPrinted>
  <dcterms:created xsi:type="dcterms:W3CDTF">2005-10-19T06:57:26Z</dcterms:created>
  <dcterms:modified xsi:type="dcterms:W3CDTF">2014-01-30T15:32:49Z</dcterms:modified>
  <cp:category/>
  <cp:version/>
  <cp:contentType/>
  <cp:contentStatus/>
</cp:coreProperties>
</file>